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2" windowHeight="7656" activeTab="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X39" i="4"/>
  <c r="X72"/>
  <c r="J72"/>
  <c r="H73"/>
  <c r="H74"/>
  <c r="H75"/>
  <c r="H76"/>
  <c r="H77"/>
  <c r="I77" s="1"/>
  <c r="H72"/>
  <c r="I72" s="1"/>
  <c r="V73"/>
  <c r="V74"/>
  <c r="W74" s="1"/>
  <c r="V75"/>
  <c r="V76"/>
  <c r="V77"/>
  <c r="V72"/>
  <c r="V40"/>
  <c r="V41"/>
  <c r="W41" s="1"/>
  <c r="V42"/>
  <c r="W42" s="1"/>
  <c r="V43"/>
  <c r="V44"/>
  <c r="V39"/>
  <c r="S39"/>
  <c r="S72"/>
  <c r="E72"/>
  <c r="C73"/>
  <c r="C74"/>
  <c r="D74" s="1"/>
  <c r="C75"/>
  <c r="C76"/>
  <c r="C77"/>
  <c r="D77" s="1"/>
  <c r="C72"/>
  <c r="Q73"/>
  <c r="Q74"/>
  <c r="R74" s="1"/>
  <c r="Q75"/>
  <c r="Q76"/>
  <c r="Q77"/>
  <c r="R77" s="1"/>
  <c r="Q72"/>
  <c r="R72"/>
  <c r="Q40"/>
  <c r="R40" s="1"/>
  <c r="Q41"/>
  <c r="S73" s="1"/>
  <c r="S74" s="1"/>
  <c r="S75" s="1"/>
  <c r="S76" s="1"/>
  <c r="S77" s="1"/>
  <c r="Q42"/>
  <c r="Q43"/>
  <c r="Q44"/>
  <c r="R44" s="1"/>
  <c r="Q39"/>
  <c r="S57"/>
  <c r="S58" s="1"/>
  <c r="S59" s="1"/>
  <c r="S60" s="1"/>
  <c r="S61" s="1"/>
  <c r="S62" s="1"/>
  <c r="E57"/>
  <c r="X59"/>
  <c r="X57"/>
  <c r="J59"/>
  <c r="J60" s="1"/>
  <c r="J61" s="1"/>
  <c r="J62" s="1"/>
  <c r="J57"/>
  <c r="V58"/>
  <c r="V59"/>
  <c r="V60"/>
  <c r="V61"/>
  <c r="V62"/>
  <c r="V57"/>
  <c r="H58"/>
  <c r="H59"/>
  <c r="H60"/>
  <c r="I60" s="1"/>
  <c r="H61"/>
  <c r="H62"/>
  <c r="H57"/>
  <c r="I57" s="1"/>
  <c r="X26"/>
  <c r="X24"/>
  <c r="V25"/>
  <c r="V26"/>
  <c r="V27"/>
  <c r="W27" s="1"/>
  <c r="V28"/>
  <c r="V29"/>
  <c r="V24"/>
  <c r="W24" s="1"/>
  <c r="G58"/>
  <c r="I58" s="1"/>
  <c r="G59"/>
  <c r="G60"/>
  <c r="G61"/>
  <c r="G62"/>
  <c r="G57"/>
  <c r="U58"/>
  <c r="U59"/>
  <c r="U60"/>
  <c r="U61"/>
  <c r="U62"/>
  <c r="U57"/>
  <c r="U25"/>
  <c r="U26"/>
  <c r="U27"/>
  <c r="U28"/>
  <c r="U29"/>
  <c r="U24"/>
  <c r="S24"/>
  <c r="Q58"/>
  <c r="Q59"/>
  <c r="Q60"/>
  <c r="R60" s="1"/>
  <c r="Q61"/>
  <c r="R61" s="1"/>
  <c r="Q62"/>
  <c r="W77" s="1"/>
  <c r="Q57"/>
  <c r="C58"/>
  <c r="C59"/>
  <c r="C60"/>
  <c r="I75" s="1"/>
  <c r="C61"/>
  <c r="C62"/>
  <c r="C57"/>
  <c r="Q25"/>
  <c r="R25" s="1"/>
  <c r="Q26"/>
  <c r="Q27"/>
  <c r="Q28"/>
  <c r="Q29"/>
  <c r="W44" s="1"/>
  <c r="Q24"/>
  <c r="P25"/>
  <c r="P26"/>
  <c r="P27"/>
  <c r="R27" s="1"/>
  <c r="P28"/>
  <c r="P29"/>
  <c r="B58"/>
  <c r="B59"/>
  <c r="B60"/>
  <c r="B61"/>
  <c r="B62"/>
  <c r="P58"/>
  <c r="R58" s="1"/>
  <c r="P59"/>
  <c r="R59" s="1"/>
  <c r="P60"/>
  <c r="P61"/>
  <c r="P62"/>
  <c r="R62" s="1"/>
  <c r="P57"/>
  <c r="B57"/>
  <c r="P24"/>
  <c r="W76"/>
  <c r="R76"/>
  <c r="R75"/>
  <c r="R73"/>
  <c r="W62"/>
  <c r="W61"/>
  <c r="W75"/>
  <c r="X60"/>
  <c r="X61" s="1"/>
  <c r="X62" s="1"/>
  <c r="W58"/>
  <c r="W73"/>
  <c r="X58"/>
  <c r="W57"/>
  <c r="I76"/>
  <c r="D76"/>
  <c r="D75"/>
  <c r="I74"/>
  <c r="J73"/>
  <c r="J74" s="1"/>
  <c r="J75" s="1"/>
  <c r="J76" s="1"/>
  <c r="J77" s="1"/>
  <c r="D73"/>
  <c r="E73"/>
  <c r="E74" s="1"/>
  <c r="E75" s="1"/>
  <c r="E76" s="1"/>
  <c r="E77" s="1"/>
  <c r="D72"/>
  <c r="I62"/>
  <c r="I61"/>
  <c r="D61"/>
  <c r="D60"/>
  <c r="I59"/>
  <c r="D59"/>
  <c r="D58"/>
  <c r="J58"/>
  <c r="E58"/>
  <c r="E59" s="1"/>
  <c r="E60" s="1"/>
  <c r="E61" s="1"/>
  <c r="E62" s="1"/>
  <c r="R43"/>
  <c r="R42"/>
  <c r="R41"/>
  <c r="X40"/>
  <c r="X41" s="1"/>
  <c r="X42" s="1"/>
  <c r="X43" s="1"/>
  <c r="X44" s="1"/>
  <c r="S40"/>
  <c r="S41" s="1"/>
  <c r="S42" s="1"/>
  <c r="S43" s="1"/>
  <c r="S44" s="1"/>
  <c r="R39"/>
  <c r="R29"/>
  <c r="W28"/>
  <c r="R28"/>
  <c r="X27"/>
  <c r="X28" s="1"/>
  <c r="X29" s="1"/>
  <c r="W26"/>
  <c r="W25"/>
  <c r="W40"/>
  <c r="X25"/>
  <c r="S25"/>
  <c r="S26" s="1"/>
  <c r="S27" s="1"/>
  <c r="S28" s="1"/>
  <c r="S29" s="1"/>
  <c r="J41"/>
  <c r="J42" s="1"/>
  <c r="J43" s="1"/>
  <c r="J44" s="1"/>
  <c r="J39"/>
  <c r="E39"/>
  <c r="S16" i="3"/>
  <c r="S17" s="1"/>
  <c r="S18" s="1"/>
  <c r="S19" s="1"/>
  <c r="S15"/>
  <c r="H6"/>
  <c r="G6"/>
  <c r="N15"/>
  <c r="N16" s="1"/>
  <c r="N17" s="1"/>
  <c r="J28" i="4"/>
  <c r="J29" s="1"/>
  <c r="J27"/>
  <c r="J26"/>
  <c r="J25"/>
  <c r="J24"/>
  <c r="E26"/>
  <c r="E27"/>
  <c r="E28" s="1"/>
  <c r="E29" s="1"/>
  <c r="E25"/>
  <c r="E24"/>
  <c r="M15" i="3"/>
  <c r="C24" i="4" s="1"/>
  <c r="H39" s="1"/>
  <c r="K10"/>
  <c r="K11"/>
  <c r="K9"/>
  <c r="F6" i="3"/>
  <c r="K15" s="1"/>
  <c r="E6"/>
  <c r="J15" s="1"/>
  <c r="J16" s="1"/>
  <c r="J17" s="1"/>
  <c r="J18" s="1"/>
  <c r="J19" s="1"/>
  <c r="J20" s="1"/>
  <c r="I11" i="4"/>
  <c r="I9"/>
  <c r="C9"/>
  <c r="C8"/>
  <c r="E9"/>
  <c r="E8"/>
  <c r="H31" i="3"/>
  <c r="D15"/>
  <c r="L15"/>
  <c r="L16" s="1"/>
  <c r="L17" s="1"/>
  <c r="L18" s="1"/>
  <c r="L19" s="1"/>
  <c r="L20" s="1"/>
  <c r="D31"/>
  <c r="C32"/>
  <c r="C33"/>
  <c r="C34"/>
  <c r="C35"/>
  <c r="C36"/>
  <c r="C31"/>
  <c r="Q15"/>
  <c r="Q16" s="1"/>
  <c r="Q17" s="1"/>
  <c r="Q18" s="1"/>
  <c r="Q19" s="1"/>
  <c r="Q20" s="1"/>
  <c r="P16"/>
  <c r="P17" s="1"/>
  <c r="P18" s="1"/>
  <c r="P19" s="1"/>
  <c r="P20" s="1"/>
  <c r="P15"/>
  <c r="O15"/>
  <c r="O16" s="1"/>
  <c r="B20"/>
  <c r="B36" s="1"/>
  <c r="B19"/>
  <c r="B35" s="1"/>
  <c r="B18"/>
  <c r="B34" s="1"/>
  <c r="B17"/>
  <c r="B33" s="1"/>
  <c r="B16"/>
  <c r="B32" s="1"/>
  <c r="D16"/>
  <c r="D17" s="1"/>
  <c r="D18" s="1"/>
  <c r="D19" s="1"/>
  <c r="D20" s="1"/>
  <c r="H8" i="2"/>
  <c r="E9"/>
  <c r="H9" s="1"/>
  <c r="G24" s="1"/>
  <c r="D40" s="1"/>
  <c r="E10"/>
  <c r="H10" s="1"/>
  <c r="G25" s="1"/>
  <c r="E11"/>
  <c r="E12"/>
  <c r="E13"/>
  <c r="E14"/>
  <c r="E8"/>
  <c r="G10"/>
  <c r="G11" s="1"/>
  <c r="G12" s="1"/>
  <c r="G13" s="1"/>
  <c r="G14" s="1"/>
  <c r="G9"/>
  <c r="B14"/>
  <c r="B13"/>
  <c r="B12"/>
  <c r="B11"/>
  <c r="B10"/>
  <c r="B3"/>
  <c r="B9" s="1"/>
  <c r="G23" i="1"/>
  <c r="F38" s="1"/>
  <c r="G24"/>
  <c r="G25"/>
  <c r="G26"/>
  <c r="G27"/>
  <c r="G22"/>
  <c r="F37" s="1"/>
  <c r="E13"/>
  <c r="G10"/>
  <c r="G11" s="1"/>
  <c r="G9"/>
  <c r="B13"/>
  <c r="B12"/>
  <c r="B11"/>
  <c r="B10"/>
  <c r="B9"/>
  <c r="G23" i="2"/>
  <c r="D39" s="1"/>
  <c r="E37" i="1"/>
  <c r="E12"/>
  <c r="E11"/>
  <c r="E10"/>
  <c r="H10" s="1"/>
  <c r="E9"/>
  <c r="H9" s="1"/>
  <c r="I73" i="4" l="1"/>
  <c r="W72"/>
  <c r="W43"/>
  <c r="W39"/>
  <c r="X73"/>
  <c r="X74" s="1"/>
  <c r="X75" s="1"/>
  <c r="X76" s="1"/>
  <c r="X77" s="1"/>
  <c r="W60"/>
  <c r="W59"/>
  <c r="W29"/>
  <c r="R57"/>
  <c r="D62"/>
  <c r="D57"/>
  <c r="R26"/>
  <c r="R24"/>
  <c r="S20" i="3"/>
  <c r="C44" i="4" s="1"/>
  <c r="D44" s="1"/>
  <c r="D43"/>
  <c r="G15" i="3"/>
  <c r="H15" s="1"/>
  <c r="E31" s="1"/>
  <c r="G31" s="1"/>
  <c r="C40" i="4"/>
  <c r="D40" s="1"/>
  <c r="C39"/>
  <c r="D39" s="1"/>
  <c r="D41"/>
  <c r="D42"/>
  <c r="M16" i="3"/>
  <c r="C25" i="4" s="1"/>
  <c r="H40" s="1"/>
  <c r="N18" i="3"/>
  <c r="N19" s="1"/>
  <c r="N20" s="1"/>
  <c r="H29" i="4" s="1"/>
  <c r="H26"/>
  <c r="F16" i="3"/>
  <c r="D32" s="1"/>
  <c r="O17"/>
  <c r="O18" s="1"/>
  <c r="O19" s="1"/>
  <c r="O20" s="1"/>
  <c r="F20" s="1"/>
  <c r="D36" s="1"/>
  <c r="H24" i="4"/>
  <c r="J40"/>
  <c r="E40"/>
  <c r="E41" s="1"/>
  <c r="E42" s="1"/>
  <c r="E43" s="1"/>
  <c r="E44" s="1"/>
  <c r="F17" i="3"/>
  <c r="D33" s="1"/>
  <c r="H25" i="4"/>
  <c r="I39"/>
  <c r="C15" i="3"/>
  <c r="K16"/>
  <c r="K17" s="1"/>
  <c r="C17" s="1"/>
  <c r="E17" s="1"/>
  <c r="G17" s="1"/>
  <c r="G12" i="1"/>
  <c r="G13" s="1"/>
  <c r="H11"/>
  <c r="D37"/>
  <c r="E38"/>
  <c r="D38"/>
  <c r="F40" i="2"/>
  <c r="E40"/>
  <c r="H11"/>
  <c r="D41"/>
  <c r="E41"/>
  <c r="F41"/>
  <c r="F39"/>
  <c r="E39"/>
  <c r="F18" i="3" l="1"/>
  <c r="D34" s="1"/>
  <c r="F31"/>
  <c r="I40" i="4" s="1"/>
  <c r="F19" i="3"/>
  <c r="D35" s="1"/>
  <c r="M17"/>
  <c r="C26" i="4" s="1"/>
  <c r="H41" s="1"/>
  <c r="H28"/>
  <c r="H27"/>
  <c r="H17" i="3"/>
  <c r="E33" s="1"/>
  <c r="G33" s="1"/>
  <c r="C16"/>
  <c r="E16" s="1"/>
  <c r="G16" s="1"/>
  <c r="K18"/>
  <c r="C18" s="1"/>
  <c r="E18" s="1"/>
  <c r="G18" s="1"/>
  <c r="E39" i="1"/>
  <c r="F39"/>
  <c r="D39"/>
  <c r="H12"/>
  <c r="E40"/>
  <c r="F40"/>
  <c r="D40"/>
  <c r="F42" i="2"/>
  <c r="G26"/>
  <c r="E42" s="1"/>
  <c r="H12"/>
  <c r="G27" s="1"/>
  <c r="M18" i="3" l="1"/>
  <c r="F33"/>
  <c r="H18"/>
  <c r="E34" s="1"/>
  <c r="F34" s="1"/>
  <c r="H16"/>
  <c r="E32" s="1"/>
  <c r="K19"/>
  <c r="K20" s="1"/>
  <c r="C20" s="1"/>
  <c r="E20" s="1"/>
  <c r="G20" s="1"/>
  <c r="R15" s="1"/>
  <c r="H13" i="1"/>
  <c r="F41"/>
  <c r="D41"/>
  <c r="E41"/>
  <c r="D42" i="2"/>
  <c r="H13"/>
  <c r="G28" s="1"/>
  <c r="H14"/>
  <c r="G29" s="1"/>
  <c r="F43"/>
  <c r="D43"/>
  <c r="E43"/>
  <c r="C19" i="3" l="1"/>
  <c r="E19" s="1"/>
  <c r="G19" s="1"/>
  <c r="H19" s="1"/>
  <c r="E35" s="1"/>
  <c r="C27" i="4"/>
  <c r="H42" s="1"/>
  <c r="I42" s="1"/>
  <c r="M19" i="3"/>
  <c r="R16"/>
  <c r="G24" i="4"/>
  <c r="I24" s="1"/>
  <c r="B24"/>
  <c r="D24" s="1"/>
  <c r="H20" i="3"/>
  <c r="E36" s="1"/>
  <c r="G36" s="1"/>
  <c r="F32"/>
  <c r="I41" i="4" s="1"/>
  <c r="G32" i="3"/>
  <c r="G34"/>
  <c r="F42" i="1"/>
  <c r="D42"/>
  <c r="E42"/>
  <c r="D44" i="2"/>
  <c r="E44"/>
  <c r="F44"/>
  <c r="D45"/>
  <c r="E45"/>
  <c r="F45"/>
  <c r="F35" i="3" l="1"/>
  <c r="I44" i="4" s="1"/>
  <c r="G35" i="3"/>
  <c r="M20"/>
  <c r="C29" i="4" s="1"/>
  <c r="H44" s="1"/>
  <c r="C28"/>
  <c r="H43" s="1"/>
  <c r="I43" s="1"/>
  <c r="G25"/>
  <c r="I25" s="1"/>
  <c r="R17" i="3"/>
  <c r="B25" i="4"/>
  <c r="D25" s="1"/>
  <c r="F36" i="3"/>
  <c r="R18" l="1"/>
  <c r="G26" i="4"/>
  <c r="I26" s="1"/>
  <c r="B26"/>
  <c r="D26" s="1"/>
  <c r="R19" i="3" l="1"/>
  <c r="G27" i="4"/>
  <c r="I27" s="1"/>
  <c r="B27"/>
  <c r="D27" s="1"/>
  <c r="R20" i="3" l="1"/>
  <c r="G28" i="4"/>
  <c r="I28" s="1"/>
  <c r="B28"/>
  <c r="D28" s="1"/>
  <c r="G29" l="1"/>
  <c r="I29" s="1"/>
  <c r="B29"/>
  <c r="D29" s="1"/>
</calcChain>
</file>

<file path=xl/sharedStrings.xml><?xml version="1.0" encoding="utf-8"?>
<sst xmlns="http://schemas.openxmlformats.org/spreadsheetml/2006/main" count="569" uniqueCount="113">
  <si>
    <t>Summary Of Live Load Moments</t>
  </si>
  <si>
    <t>L=</t>
  </si>
  <si>
    <t>Location/Section at</t>
  </si>
  <si>
    <t>Distance</t>
  </si>
  <si>
    <t>Truck Load Effect</t>
  </si>
  <si>
    <t>Tandem Load Effect</t>
  </si>
  <si>
    <t>Governing</t>
  </si>
  <si>
    <t>Lane Load Effect</t>
  </si>
  <si>
    <t>Live Load Moment</t>
  </si>
  <si>
    <t>ft</t>
  </si>
  <si>
    <t>kip.ft</t>
  </si>
  <si>
    <t>0 (left support)</t>
  </si>
  <si>
    <t>0.1L</t>
  </si>
  <si>
    <t>0.2L</t>
  </si>
  <si>
    <t>0.3L</t>
  </si>
  <si>
    <t>0.4L</t>
  </si>
  <si>
    <t>0.5L</t>
  </si>
  <si>
    <t>Girder self weight</t>
  </si>
  <si>
    <t>Slab self weight</t>
  </si>
  <si>
    <t>Diaphragm self weight</t>
  </si>
  <si>
    <t>Future Wearing Self Weight</t>
  </si>
  <si>
    <t>Railing and Kerb Self Weight</t>
  </si>
  <si>
    <t xml:space="preserve">Summary Of Unfactored Moments </t>
  </si>
  <si>
    <t>Live Load</t>
  </si>
  <si>
    <r>
      <t>DFM</t>
    </r>
    <r>
      <rPr>
        <sz val="8"/>
        <color theme="1"/>
        <rFont val="Calibri"/>
        <family val="2"/>
        <scheme val="minor"/>
      </rPr>
      <t>mi</t>
    </r>
  </si>
  <si>
    <t xml:space="preserve">Summary Of factored Moments </t>
  </si>
  <si>
    <t>Non-Composite</t>
  </si>
  <si>
    <t>Composite</t>
  </si>
  <si>
    <t>Strength I</t>
  </si>
  <si>
    <t>Service I</t>
  </si>
  <si>
    <t>Service II</t>
  </si>
  <si>
    <t>Limit State</t>
  </si>
  <si>
    <t>Summary Of Live Load Shear</t>
  </si>
  <si>
    <t>Summary Of Unfactored Shear</t>
  </si>
  <si>
    <t>Summary Of factored Shear</t>
  </si>
  <si>
    <t>kip</t>
  </si>
  <si>
    <t>h/2</t>
  </si>
  <si>
    <t>h=</t>
  </si>
  <si>
    <t>Live Load Shear</t>
  </si>
  <si>
    <t>Calculation of Initial Prestress</t>
  </si>
  <si>
    <r>
      <t>f</t>
    </r>
    <r>
      <rPr>
        <sz val="8"/>
        <color theme="1"/>
        <rFont val="Calibri"/>
        <family val="2"/>
        <scheme val="minor"/>
      </rPr>
      <t xml:space="preserve">tensile </t>
    </r>
    <r>
      <rPr>
        <sz val="11"/>
        <color theme="1"/>
        <rFont val="Calibri"/>
        <family val="2"/>
        <scheme val="minor"/>
      </rPr>
      <t>(bottom of girder)</t>
    </r>
  </si>
  <si>
    <t>Location/  Section at</t>
  </si>
  <si>
    <t>Alowable tensile stress</t>
  </si>
  <si>
    <t>Stress in Concrete</t>
  </si>
  <si>
    <t>Ecentricity, e</t>
  </si>
  <si>
    <r>
      <t>Effective Prestress,    F</t>
    </r>
    <r>
      <rPr>
        <sz val="8"/>
        <color theme="1"/>
        <rFont val="Calibri"/>
        <family val="2"/>
        <scheme val="minor"/>
      </rPr>
      <t>pe</t>
    </r>
  </si>
  <si>
    <r>
      <t>Initial Prestress,     F</t>
    </r>
    <r>
      <rPr>
        <sz val="8"/>
        <color theme="1"/>
        <rFont val="Calibri"/>
        <family val="2"/>
        <scheme val="minor"/>
      </rPr>
      <t>pi</t>
    </r>
  </si>
  <si>
    <t>ksi</t>
  </si>
  <si>
    <t>inch</t>
  </si>
  <si>
    <r>
      <t>S</t>
    </r>
    <r>
      <rPr>
        <sz val="8"/>
        <color theme="1"/>
        <rFont val="Calibri"/>
        <family val="2"/>
        <scheme val="minor"/>
      </rPr>
      <t>top</t>
    </r>
  </si>
  <si>
    <r>
      <t>S</t>
    </r>
    <r>
      <rPr>
        <sz val="8"/>
        <color theme="1"/>
        <rFont val="Calibri"/>
        <family val="2"/>
        <scheme val="minor"/>
      </rPr>
      <t>bottom</t>
    </r>
  </si>
  <si>
    <t>inch^3</t>
  </si>
  <si>
    <r>
      <t>e</t>
    </r>
    <r>
      <rPr>
        <sz val="8"/>
        <color theme="1"/>
        <rFont val="Calibri"/>
        <family val="2"/>
        <scheme val="minor"/>
      </rPr>
      <t>m,</t>
    </r>
    <r>
      <rPr>
        <sz val="11"/>
        <color theme="1"/>
        <rFont val="Calibri"/>
        <family val="2"/>
        <scheme val="minor"/>
      </rPr>
      <t>inch =</t>
    </r>
  </si>
  <si>
    <r>
      <t>Ecentricity at Midspan,     e</t>
    </r>
    <r>
      <rPr>
        <sz val="8"/>
        <color theme="1"/>
        <rFont val="Calibri"/>
        <family val="2"/>
        <scheme val="minor"/>
      </rPr>
      <t>m</t>
    </r>
  </si>
  <si>
    <t>Span,        L</t>
  </si>
  <si>
    <r>
      <t>Area of Girder,    A</t>
    </r>
    <r>
      <rPr>
        <sz val="8"/>
        <color theme="1"/>
        <rFont val="Calibri"/>
        <family val="2"/>
        <scheme val="minor"/>
      </rPr>
      <t>g</t>
    </r>
  </si>
  <si>
    <r>
      <t>A</t>
    </r>
    <r>
      <rPr>
        <sz val="8"/>
        <color theme="1"/>
        <rFont val="Calibri"/>
        <family val="2"/>
        <scheme val="minor"/>
      </rPr>
      <t>g,</t>
    </r>
    <r>
      <rPr>
        <sz val="11"/>
        <color theme="1"/>
        <rFont val="Calibri"/>
        <family val="2"/>
        <scheme val="minor"/>
      </rPr>
      <t>inch^2 =</t>
    </r>
  </si>
  <si>
    <t>inch^2</t>
  </si>
  <si>
    <t>Stresses at Top and Bottom of Beam at Transfer</t>
  </si>
  <si>
    <t>Distance from Left Support</t>
  </si>
  <si>
    <r>
      <t>Girder Self-Weight Moment,    M</t>
    </r>
    <r>
      <rPr>
        <sz val="8"/>
        <color theme="1"/>
        <rFont val="Calibri"/>
        <family val="2"/>
        <scheme val="minor"/>
      </rPr>
      <t>g</t>
    </r>
  </si>
  <si>
    <t>Ecentricity,    e</t>
  </si>
  <si>
    <r>
      <t>Initial Prestress,     F</t>
    </r>
    <r>
      <rPr>
        <sz val="8"/>
        <color theme="1"/>
        <rFont val="Calibri"/>
        <family val="2"/>
        <scheme val="minor"/>
      </rPr>
      <t xml:space="preserve">pi             </t>
    </r>
    <r>
      <rPr>
        <sz val="11"/>
        <color theme="1"/>
        <rFont val="Calibri"/>
        <family val="2"/>
        <scheme val="minor"/>
      </rPr>
      <t>(Prestress at Transfer)</t>
    </r>
    <r>
      <rPr>
        <sz val="8"/>
        <color theme="1"/>
        <rFont val="Calibri"/>
        <family val="2"/>
        <scheme val="minor"/>
      </rPr>
      <t xml:space="preserve">    </t>
    </r>
  </si>
  <si>
    <t>Stress at Transfer</t>
  </si>
  <si>
    <t>Top of Girder</t>
  </si>
  <si>
    <t>Bottom of Girder</t>
  </si>
  <si>
    <t>Stress Limits</t>
  </si>
  <si>
    <t>Remark</t>
  </si>
  <si>
    <r>
      <t>f'</t>
    </r>
    <r>
      <rPr>
        <sz val="8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at transfer</t>
    </r>
    <r>
      <rPr>
        <sz val="8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ksi</t>
    </r>
    <r>
      <rPr>
        <sz val="12"/>
        <color theme="1"/>
        <rFont val="Calibri"/>
        <family val="2"/>
        <scheme val="minor"/>
      </rPr>
      <t xml:space="preserve"> =</t>
    </r>
  </si>
  <si>
    <r>
      <t>f'</t>
    </r>
    <r>
      <rPr>
        <sz val="8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at service</t>
    </r>
    <r>
      <rPr>
        <sz val="8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ksi</t>
    </r>
    <r>
      <rPr>
        <sz val="12"/>
        <color theme="1"/>
        <rFont val="Calibri"/>
        <family val="2"/>
        <scheme val="minor"/>
      </rPr>
      <t xml:space="preserve"> =</t>
    </r>
  </si>
  <si>
    <t>Ok</t>
  </si>
  <si>
    <t>Table of Allowable Stresss on Service Conditions</t>
  </si>
  <si>
    <r>
      <t>f'</t>
    </r>
    <r>
      <rPr>
        <sz val="8"/>
        <color theme="1"/>
        <rFont val="Calibri"/>
        <family val="2"/>
        <scheme val="minor"/>
      </rPr>
      <t xml:space="preserve">ci </t>
    </r>
    <r>
      <rPr>
        <sz val="11"/>
        <color theme="1"/>
        <rFont val="Calibri"/>
        <family val="2"/>
        <scheme val="minor"/>
      </rPr>
      <t>(Slab), ksi =</t>
    </r>
  </si>
  <si>
    <r>
      <t>f'</t>
    </r>
    <r>
      <rPr>
        <sz val="8"/>
        <color theme="1"/>
        <rFont val="Calibri"/>
        <family val="2"/>
        <scheme val="minor"/>
      </rPr>
      <t xml:space="preserve">ci </t>
    </r>
    <r>
      <rPr>
        <sz val="11"/>
        <color theme="1"/>
        <rFont val="Calibri"/>
        <family val="2"/>
        <scheme val="minor"/>
      </rPr>
      <t>(Girder), ksi =</t>
    </r>
  </si>
  <si>
    <t>Compression</t>
  </si>
  <si>
    <t>Tension</t>
  </si>
  <si>
    <t>Slab</t>
  </si>
  <si>
    <t>Girder</t>
  </si>
  <si>
    <r>
      <t>.45f'</t>
    </r>
    <r>
      <rPr>
        <sz val="8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scheme val="minor"/>
      </rPr>
      <t>=</t>
    </r>
  </si>
  <si>
    <r>
      <t>.19(f'</t>
    </r>
    <r>
      <rPr>
        <sz val="8"/>
        <color theme="1"/>
        <rFont val="Calibri"/>
        <family val="2"/>
        <scheme val="minor"/>
      </rPr>
      <t>ci</t>
    </r>
    <r>
      <rPr>
        <sz val="11"/>
        <color theme="1"/>
        <rFont val="Calibri"/>
        <family val="2"/>
        <scheme val="minor"/>
      </rPr>
      <t>)^.5=</t>
    </r>
  </si>
  <si>
    <t>Check for Stress in Service Condition</t>
  </si>
  <si>
    <t>For Girder</t>
  </si>
  <si>
    <t>Location/ Section at</t>
  </si>
  <si>
    <t>Non Composite</t>
  </si>
  <si>
    <t>Resultant (Actual)</t>
  </si>
  <si>
    <t>Allowable Stress Limit</t>
  </si>
  <si>
    <t>Remarks</t>
  </si>
  <si>
    <t>Stress at Service (For Girder)</t>
  </si>
  <si>
    <t>SERVICE I</t>
  </si>
  <si>
    <t>Summary of Section Properties</t>
  </si>
  <si>
    <t>Basic/ Non-Composite Girder</t>
  </si>
  <si>
    <t>Composite/ Girder and slab</t>
  </si>
  <si>
    <r>
      <t>A</t>
    </r>
    <r>
      <rPr>
        <sz val="8"/>
        <color theme="1"/>
        <rFont val="Calibri"/>
        <family val="2"/>
        <scheme val="minor"/>
      </rPr>
      <t>g,</t>
    </r>
    <r>
      <rPr>
        <sz val="11"/>
        <color theme="1"/>
        <rFont val="Calibri"/>
        <family val="2"/>
        <scheme val="minor"/>
      </rPr>
      <t xml:space="preserve"> in^2</t>
    </r>
  </si>
  <si>
    <r>
      <t>y</t>
    </r>
    <r>
      <rPr>
        <sz val="8"/>
        <color theme="1"/>
        <rFont val="Calibri"/>
        <family val="2"/>
        <scheme val="minor"/>
      </rPr>
      <t>top,</t>
    </r>
    <r>
      <rPr>
        <sz val="11"/>
        <color theme="1"/>
        <rFont val="Calibri"/>
        <family val="2"/>
        <scheme val="minor"/>
      </rPr>
      <t>in</t>
    </r>
  </si>
  <si>
    <r>
      <t>y</t>
    </r>
    <r>
      <rPr>
        <sz val="8"/>
        <color theme="1"/>
        <rFont val="Calibri"/>
        <family val="2"/>
        <scheme val="minor"/>
      </rPr>
      <t>bottom,</t>
    </r>
    <r>
      <rPr>
        <sz val="11"/>
        <color theme="1"/>
        <rFont val="Calibri"/>
        <family val="2"/>
        <scheme val="minor"/>
      </rPr>
      <t>in</t>
    </r>
  </si>
  <si>
    <r>
      <t>I</t>
    </r>
    <r>
      <rPr>
        <sz val="8"/>
        <color theme="1"/>
        <rFont val="Calibri"/>
        <family val="2"/>
        <scheme val="minor"/>
      </rPr>
      <t>g,</t>
    </r>
    <r>
      <rPr>
        <sz val="11"/>
        <color theme="1"/>
        <rFont val="Calibri"/>
        <family val="2"/>
        <scheme val="minor"/>
      </rPr>
      <t>in^4</t>
    </r>
  </si>
  <si>
    <r>
      <t>S</t>
    </r>
    <r>
      <rPr>
        <sz val="8"/>
        <color theme="1"/>
        <rFont val="Calibri"/>
        <family val="2"/>
        <scheme val="minor"/>
      </rPr>
      <t>top,</t>
    </r>
    <r>
      <rPr>
        <sz val="11"/>
        <color theme="1"/>
        <rFont val="Calibri"/>
        <family val="2"/>
        <scheme val="minor"/>
      </rPr>
      <t>in^3</t>
    </r>
  </si>
  <si>
    <r>
      <t>S</t>
    </r>
    <r>
      <rPr>
        <sz val="8"/>
        <color theme="1"/>
        <rFont val="Calibri"/>
        <family val="2"/>
        <scheme val="minor"/>
      </rPr>
      <t>bottom,</t>
    </r>
    <r>
      <rPr>
        <sz val="11"/>
        <color theme="1"/>
        <rFont val="Calibri"/>
        <family val="2"/>
        <scheme val="minor"/>
      </rPr>
      <t>in^3</t>
    </r>
  </si>
  <si>
    <r>
      <t>S</t>
    </r>
    <r>
      <rPr>
        <sz val="8"/>
        <color theme="1"/>
        <rFont val="Calibri"/>
        <family val="2"/>
        <scheme val="minor"/>
      </rPr>
      <t>at interface,</t>
    </r>
    <r>
      <rPr>
        <sz val="11"/>
        <color theme="1"/>
        <rFont val="Calibri"/>
        <family val="2"/>
        <scheme val="minor"/>
      </rPr>
      <t>in^3</t>
    </r>
  </si>
  <si>
    <r>
      <t>S</t>
    </r>
    <r>
      <rPr>
        <sz val="8"/>
        <color theme="1"/>
        <rFont val="Calibri"/>
        <family val="2"/>
        <scheme val="minor"/>
      </rPr>
      <t>at interface</t>
    </r>
  </si>
  <si>
    <t>ok</t>
  </si>
  <si>
    <t>not ok</t>
  </si>
  <si>
    <t>Stress at Service (For Slab)</t>
  </si>
  <si>
    <t>Top of Slab</t>
  </si>
  <si>
    <t>Bottom of Slab</t>
  </si>
  <si>
    <t>n=</t>
  </si>
  <si>
    <t>n</t>
  </si>
  <si>
    <t>SERVICE III</t>
  </si>
  <si>
    <t>SERVICE IV</t>
  </si>
  <si>
    <t>SERVICE II</t>
  </si>
  <si>
    <t>For Slab</t>
  </si>
  <si>
    <t>Service IV</t>
  </si>
  <si>
    <t>Service III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</si>
</sst>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opLeftCell="A6" workbookViewId="0">
      <selection activeCell="A19" sqref="A19:A21"/>
    </sheetView>
  </sheetViews>
  <sheetFormatPr defaultRowHeight="14.4"/>
  <cols>
    <col min="1" max="1" width="19.33203125" customWidth="1"/>
    <col min="2" max="2" width="18.6640625" customWidth="1"/>
    <col min="3" max="3" width="19.44140625" customWidth="1"/>
    <col min="4" max="4" width="21" customWidth="1"/>
    <col min="5" max="5" width="25.5546875" customWidth="1"/>
    <col min="6" max="6" width="26.6640625" customWidth="1"/>
    <col min="7" max="7" width="13.6640625" customWidth="1"/>
    <col min="8" max="8" width="19.109375" customWidth="1"/>
  </cols>
  <sheetData>
    <row r="1" spans="1:9" ht="18">
      <c r="F1" s="1"/>
      <c r="G1" s="1"/>
    </row>
    <row r="2" spans="1:9">
      <c r="A2" t="s">
        <v>1</v>
      </c>
      <c r="B2">
        <v>98</v>
      </c>
    </row>
    <row r="4" spans="1:9" ht="18">
      <c r="D4" s="31" t="s">
        <v>0</v>
      </c>
      <c r="E4" s="31"/>
    </row>
    <row r="6" spans="1:9">
      <c r="A6" s="34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24</v>
      </c>
      <c r="H6" s="3" t="s">
        <v>8</v>
      </c>
      <c r="I6" s="2"/>
    </row>
    <row r="7" spans="1:9">
      <c r="A7" s="35"/>
      <c r="B7" s="3" t="s">
        <v>9</v>
      </c>
      <c r="C7" s="3" t="s">
        <v>10</v>
      </c>
      <c r="D7" s="3" t="s">
        <v>10</v>
      </c>
      <c r="E7" s="3" t="s">
        <v>10</v>
      </c>
      <c r="F7" s="3" t="s">
        <v>10</v>
      </c>
      <c r="G7" s="3"/>
      <c r="H7" s="3" t="s">
        <v>35</v>
      </c>
    </row>
    <row r="8" spans="1:9">
      <c r="A8" s="3" t="s">
        <v>11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0.75</v>
      </c>
      <c r="H8" s="3">
        <v>0</v>
      </c>
    </row>
    <row r="9" spans="1:9">
      <c r="A9" s="3" t="s">
        <v>12</v>
      </c>
      <c r="B9" s="3">
        <f>0.1*B2</f>
        <v>9.8000000000000007</v>
      </c>
      <c r="C9" s="3">
        <v>567.84</v>
      </c>
      <c r="D9" s="3">
        <v>431</v>
      </c>
      <c r="E9" s="3">
        <f>MAX(C9:D9)</f>
        <v>567.84</v>
      </c>
      <c r="F9" s="3">
        <v>276.60000000000002</v>
      </c>
      <c r="G9" s="3">
        <f>G8</f>
        <v>0.75</v>
      </c>
      <c r="H9" s="3">
        <f>G10*(1.33*E9+F9)</f>
        <v>773.87040000000013</v>
      </c>
    </row>
    <row r="10" spans="1:9">
      <c r="A10" s="3" t="s">
        <v>13</v>
      </c>
      <c r="B10" s="3">
        <f>0.2*B2</f>
        <v>19.600000000000001</v>
      </c>
      <c r="C10" s="3">
        <v>994.56</v>
      </c>
      <c r="D10" s="3">
        <v>764</v>
      </c>
      <c r="E10" s="3">
        <f>MAX(C10:D10)</f>
        <v>994.56</v>
      </c>
      <c r="F10" s="3">
        <v>491.7</v>
      </c>
      <c r="G10" s="6">
        <f t="shared" ref="G10:G13" si="0">G9</f>
        <v>0.75</v>
      </c>
      <c r="H10" s="3">
        <f>G10*(1.33*E10+F10)</f>
        <v>1360.8486</v>
      </c>
    </row>
    <row r="11" spans="1:9">
      <c r="A11" s="3" t="s">
        <v>14</v>
      </c>
      <c r="B11" s="3">
        <f>0.3*B2</f>
        <v>29.4</v>
      </c>
      <c r="C11" s="3">
        <v>1280.1600000000001</v>
      </c>
      <c r="D11" s="3">
        <v>999</v>
      </c>
      <c r="E11" s="3">
        <f>MAX(C11:D11)</f>
        <v>1280.1600000000001</v>
      </c>
      <c r="F11" s="3">
        <v>645.4</v>
      </c>
      <c r="G11" s="6">
        <f t="shared" si="0"/>
        <v>0.75</v>
      </c>
      <c r="H11" s="3">
        <f>G11*(1.33*E11+F11)</f>
        <v>1761.0095999999999</v>
      </c>
    </row>
    <row r="12" spans="1:9">
      <c r="A12" s="3" t="s">
        <v>15</v>
      </c>
      <c r="B12" s="3">
        <f>0.4*B2</f>
        <v>39.200000000000003</v>
      </c>
      <c r="C12" s="3">
        <v>1424.64</v>
      </c>
      <c r="D12" s="3">
        <v>1136</v>
      </c>
      <c r="E12" s="3">
        <f>MAX(C12:D12)</f>
        <v>1424.64</v>
      </c>
      <c r="F12" s="3">
        <v>737.6</v>
      </c>
      <c r="G12" s="6">
        <f t="shared" si="0"/>
        <v>0.75</v>
      </c>
      <c r="H12" s="3">
        <f>G12*(1.33*E12+F12)</f>
        <v>1974.2784000000001</v>
      </c>
    </row>
    <row r="13" spans="1:9">
      <c r="A13" s="3" t="s">
        <v>16</v>
      </c>
      <c r="B13" s="3">
        <f>0.5*B2</f>
        <v>49</v>
      </c>
      <c r="C13" s="3">
        <v>1428</v>
      </c>
      <c r="D13" s="3">
        <v>1175</v>
      </c>
      <c r="E13" s="3">
        <f>MAX(C13:D13)</f>
        <v>1428</v>
      </c>
      <c r="F13" s="3">
        <v>768.32</v>
      </c>
      <c r="G13" s="6">
        <f t="shared" si="0"/>
        <v>0.75</v>
      </c>
      <c r="H13" s="3">
        <f>G13*(1.33*E13+F13)</f>
        <v>2000.67</v>
      </c>
    </row>
    <row r="14" spans="1:9">
      <c r="G14" s="8"/>
      <c r="H14" s="9"/>
    </row>
    <row r="17" spans="1:7" ht="18">
      <c r="D17" s="31" t="s">
        <v>22</v>
      </c>
      <c r="E17" s="31"/>
    </row>
    <row r="19" spans="1:7">
      <c r="A19" s="34" t="s">
        <v>2</v>
      </c>
      <c r="B19" s="37" t="s">
        <v>26</v>
      </c>
      <c r="C19" s="37"/>
      <c r="D19" s="38"/>
      <c r="E19" s="39" t="s">
        <v>27</v>
      </c>
      <c r="F19" s="37"/>
      <c r="G19" s="38"/>
    </row>
    <row r="20" spans="1:7">
      <c r="A20" s="36"/>
      <c r="B20" s="3" t="s">
        <v>17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23</v>
      </c>
    </row>
    <row r="21" spans="1:7">
      <c r="A21" s="35"/>
      <c r="B21" s="3" t="s">
        <v>10</v>
      </c>
      <c r="C21" s="3" t="s">
        <v>10</v>
      </c>
      <c r="D21" s="3" t="s">
        <v>10</v>
      </c>
      <c r="E21" s="3" t="s">
        <v>10</v>
      </c>
      <c r="F21" s="3" t="s">
        <v>10</v>
      </c>
      <c r="G21" s="3" t="s">
        <v>10</v>
      </c>
    </row>
    <row r="22" spans="1:7">
      <c r="A22" s="3" t="s">
        <v>11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f>H8</f>
        <v>0</v>
      </c>
    </row>
    <row r="23" spans="1:7">
      <c r="A23" s="3" t="s">
        <v>12</v>
      </c>
      <c r="B23" s="3">
        <v>313.5</v>
      </c>
      <c r="C23" s="3">
        <v>220.5</v>
      </c>
      <c r="D23" s="3">
        <v>63.5</v>
      </c>
      <c r="E23" s="4">
        <v>105</v>
      </c>
      <c r="F23" s="3">
        <v>94.5</v>
      </c>
      <c r="G23" s="6">
        <f t="shared" ref="G23:G27" si="1">H9</f>
        <v>773.87040000000013</v>
      </c>
    </row>
    <row r="24" spans="1:7">
      <c r="A24" s="3" t="s">
        <v>13</v>
      </c>
      <c r="B24" s="3">
        <v>535</v>
      </c>
      <c r="C24" s="3">
        <v>392</v>
      </c>
      <c r="D24" s="3">
        <v>127</v>
      </c>
      <c r="E24" s="3">
        <v>187.5</v>
      </c>
      <c r="F24" s="3">
        <v>168</v>
      </c>
      <c r="G24" s="6">
        <f t="shared" si="1"/>
        <v>1360.8486</v>
      </c>
    </row>
    <row r="25" spans="1:7">
      <c r="A25" s="3" t="s">
        <v>14</v>
      </c>
      <c r="B25" s="3">
        <v>693</v>
      </c>
      <c r="C25" s="3">
        <v>514.5</v>
      </c>
      <c r="D25" s="3">
        <v>169</v>
      </c>
      <c r="E25" s="3">
        <v>246</v>
      </c>
      <c r="F25" s="3">
        <v>220.5</v>
      </c>
      <c r="G25" s="6">
        <f t="shared" si="1"/>
        <v>1761.0095999999999</v>
      </c>
    </row>
    <row r="26" spans="1:7">
      <c r="A26" s="3" t="s">
        <v>15</v>
      </c>
      <c r="B26" s="3">
        <v>788</v>
      </c>
      <c r="C26" s="3">
        <v>588</v>
      </c>
      <c r="D26" s="3">
        <v>190</v>
      </c>
      <c r="E26" s="3">
        <v>281</v>
      </c>
      <c r="F26" s="3">
        <v>252</v>
      </c>
      <c r="G26" s="6">
        <f t="shared" si="1"/>
        <v>1974.2784000000001</v>
      </c>
    </row>
    <row r="27" spans="1:7">
      <c r="A27" s="3" t="s">
        <v>16</v>
      </c>
      <c r="B27" s="3">
        <v>819.5</v>
      </c>
      <c r="C27" s="3">
        <v>612.5</v>
      </c>
      <c r="D27" s="3">
        <v>211</v>
      </c>
      <c r="E27" s="3">
        <v>292.5</v>
      </c>
      <c r="F27" s="3">
        <v>262.5</v>
      </c>
      <c r="G27" s="6">
        <f t="shared" si="1"/>
        <v>2000.67</v>
      </c>
    </row>
    <row r="31" spans="1:7" ht="18">
      <c r="D31" s="31" t="s">
        <v>25</v>
      </c>
      <c r="E31" s="31"/>
    </row>
    <row r="34" spans="3:6">
      <c r="C34" s="32" t="s">
        <v>2</v>
      </c>
      <c r="D34" s="33" t="s">
        <v>31</v>
      </c>
      <c r="E34" s="33"/>
      <c r="F34" s="33"/>
    </row>
    <row r="35" spans="3:6">
      <c r="C35" s="32"/>
      <c r="D35" s="5" t="s">
        <v>28</v>
      </c>
      <c r="E35" s="3" t="s">
        <v>29</v>
      </c>
      <c r="F35" s="3" t="s">
        <v>30</v>
      </c>
    </row>
    <row r="36" spans="3:6">
      <c r="C36" s="32"/>
      <c r="D36" s="5" t="s">
        <v>10</v>
      </c>
      <c r="E36" s="3" t="s">
        <v>10</v>
      </c>
      <c r="F36" s="3" t="s">
        <v>10</v>
      </c>
    </row>
    <row r="37" spans="3:6">
      <c r="C37" s="3" t="s">
        <v>11</v>
      </c>
      <c r="D37" s="3">
        <f t="shared" ref="D37:D42" si="2">1.25*(B22+C22+D22)+1.5*(E22+F22)+1.75*G22</f>
        <v>0</v>
      </c>
      <c r="E37" s="3">
        <f t="shared" ref="E37:E42" si="3">1*(B22+C22+D22)+1*(E22+F22)+1*G22</f>
        <v>0</v>
      </c>
      <c r="F37" s="3">
        <f t="shared" ref="F37:F42" si="4">1*(B22+C22+D22)+1*(E22+F22)+0.8*G22</f>
        <v>0</v>
      </c>
    </row>
    <row r="38" spans="3:6">
      <c r="C38" s="3" t="s">
        <v>12</v>
      </c>
      <c r="D38" s="3">
        <f t="shared" si="2"/>
        <v>2400.3982000000005</v>
      </c>
      <c r="E38" s="3">
        <f t="shared" si="3"/>
        <v>1570.8704000000002</v>
      </c>
      <c r="F38" s="3">
        <f t="shared" si="4"/>
        <v>1416.0963200000001</v>
      </c>
    </row>
    <row r="39" spans="3:6">
      <c r="C39" s="3" t="s">
        <v>13</v>
      </c>
      <c r="D39" s="3">
        <f t="shared" si="2"/>
        <v>4232.2350500000002</v>
      </c>
      <c r="E39" s="3">
        <f t="shared" si="3"/>
        <v>2770.3486000000003</v>
      </c>
      <c r="F39" s="3">
        <f t="shared" si="4"/>
        <v>2498.1788800000004</v>
      </c>
    </row>
    <row r="40" spans="3:6">
      <c r="C40" s="3" t="s">
        <v>14</v>
      </c>
      <c r="D40" s="3">
        <f t="shared" si="2"/>
        <v>5502.1417999999994</v>
      </c>
      <c r="E40" s="3">
        <f t="shared" si="3"/>
        <v>3604.0095999999999</v>
      </c>
      <c r="F40" s="3">
        <f t="shared" si="4"/>
        <v>3251.8076799999999</v>
      </c>
    </row>
    <row r="41" spans="3:6">
      <c r="C41" s="3" t="s">
        <v>15</v>
      </c>
      <c r="D41" s="3">
        <f t="shared" si="2"/>
        <v>6211.9872000000005</v>
      </c>
      <c r="E41" s="3">
        <f t="shared" si="3"/>
        <v>4073.2784000000001</v>
      </c>
      <c r="F41" s="3">
        <f t="shared" si="4"/>
        <v>3678.4227200000005</v>
      </c>
    </row>
    <row r="42" spans="3:6">
      <c r="C42" s="3" t="s">
        <v>16</v>
      </c>
      <c r="D42" s="3">
        <f t="shared" si="2"/>
        <v>6387.4225000000006</v>
      </c>
      <c r="E42" s="3">
        <f t="shared" si="3"/>
        <v>4198.67</v>
      </c>
      <c r="F42" s="3">
        <f t="shared" si="4"/>
        <v>3798.5360000000001</v>
      </c>
    </row>
  </sheetData>
  <mergeCells count="9">
    <mergeCell ref="D4:E4"/>
    <mergeCell ref="C34:C36"/>
    <mergeCell ref="D34:F34"/>
    <mergeCell ref="A6:A7"/>
    <mergeCell ref="A19:A21"/>
    <mergeCell ref="D17:E17"/>
    <mergeCell ref="D31:E31"/>
    <mergeCell ref="B19:D19"/>
    <mergeCell ref="E19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topLeftCell="A10" workbookViewId="0">
      <selection activeCell="D39" sqref="D39"/>
    </sheetView>
  </sheetViews>
  <sheetFormatPr defaultRowHeight="14.4"/>
  <cols>
    <col min="1" max="1" width="20.44140625" customWidth="1"/>
    <col min="2" max="2" width="16.88671875" customWidth="1"/>
    <col min="3" max="3" width="19" customWidth="1"/>
    <col min="4" max="4" width="21.6640625" customWidth="1"/>
    <col min="5" max="5" width="25.6640625" customWidth="1"/>
    <col min="6" max="6" width="25.5546875" customWidth="1"/>
    <col min="7" max="7" width="18.33203125" customWidth="1"/>
    <col min="8" max="8" width="18.109375" customWidth="1"/>
  </cols>
  <sheetData>
    <row r="1" spans="1:8" ht="18">
      <c r="F1" s="1"/>
      <c r="G1" s="1"/>
    </row>
    <row r="2" spans="1:8">
      <c r="A2" t="s">
        <v>1</v>
      </c>
      <c r="B2">
        <v>98</v>
      </c>
    </row>
    <row r="3" spans="1:8">
      <c r="A3" t="s">
        <v>37</v>
      </c>
      <c r="B3">
        <f>72/12</f>
        <v>6</v>
      </c>
    </row>
    <row r="4" spans="1:8" ht="18">
      <c r="D4" s="31" t="s">
        <v>32</v>
      </c>
      <c r="E4" s="31"/>
    </row>
    <row r="6" spans="1:8">
      <c r="A6" s="34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24</v>
      </c>
      <c r="H6" s="3" t="s">
        <v>38</v>
      </c>
    </row>
    <row r="7" spans="1:8">
      <c r="A7" s="35"/>
      <c r="B7" s="3" t="s">
        <v>9</v>
      </c>
      <c r="C7" s="3" t="s">
        <v>35</v>
      </c>
      <c r="D7" s="3" t="s">
        <v>35</v>
      </c>
      <c r="E7" s="3" t="s">
        <v>35</v>
      </c>
      <c r="F7" s="3" t="s">
        <v>35</v>
      </c>
      <c r="G7" s="7"/>
      <c r="H7" s="3" t="s">
        <v>35</v>
      </c>
    </row>
    <row r="8" spans="1:8">
      <c r="A8" s="3" t="s">
        <v>11</v>
      </c>
      <c r="B8" s="3">
        <v>0</v>
      </c>
      <c r="C8" s="3">
        <v>65.14</v>
      </c>
      <c r="D8" s="3">
        <v>48.98</v>
      </c>
      <c r="E8" s="3">
        <f>MAX(C8:D8)</f>
        <v>65.14</v>
      </c>
      <c r="F8" s="3">
        <v>31.36</v>
      </c>
      <c r="G8" s="7">
        <v>0.83799999999999997</v>
      </c>
      <c r="H8" s="3">
        <f>G8*(E8*1.33+F8)</f>
        <v>98.880815599999991</v>
      </c>
    </row>
    <row r="9" spans="1:8">
      <c r="A9" s="3" t="s">
        <v>36</v>
      </c>
      <c r="B9" s="3">
        <f>B3/2</f>
        <v>3</v>
      </c>
      <c r="C9" s="3">
        <v>62.98</v>
      </c>
      <c r="D9" s="3">
        <v>47.48</v>
      </c>
      <c r="E9" s="6">
        <f t="shared" ref="E9:E14" si="0">MAX(C9:D9)</f>
        <v>62.98</v>
      </c>
      <c r="F9" s="3">
        <v>29.49</v>
      </c>
      <c r="G9" s="7">
        <f>G8</f>
        <v>0.83799999999999997</v>
      </c>
      <c r="H9" s="3">
        <f>G10*(1.33*E9+F9)</f>
        <v>94.906349199999994</v>
      </c>
    </row>
    <row r="10" spans="1:8">
      <c r="A10" s="3" t="s">
        <v>12</v>
      </c>
      <c r="B10" s="3">
        <f>0.1*B2</f>
        <v>9.8000000000000007</v>
      </c>
      <c r="C10" s="3">
        <v>57.94</v>
      </c>
      <c r="D10" s="3">
        <v>43.98</v>
      </c>
      <c r="E10" s="6">
        <f t="shared" si="0"/>
        <v>57.94</v>
      </c>
      <c r="F10" s="3">
        <v>25.4</v>
      </c>
      <c r="G10" s="7">
        <f t="shared" ref="G10:G14" si="1">G9</f>
        <v>0.83799999999999997</v>
      </c>
      <c r="H10" s="3">
        <f>G10*(1.33*E10+F10)</f>
        <v>85.861647599999984</v>
      </c>
    </row>
    <row r="11" spans="1:8">
      <c r="A11" s="3" t="s">
        <v>13</v>
      </c>
      <c r="B11" s="3">
        <f>0.2*B2</f>
        <v>19.600000000000001</v>
      </c>
      <c r="C11" s="3">
        <v>50.74</v>
      </c>
      <c r="D11" s="3">
        <v>38.979999999999997</v>
      </c>
      <c r="E11" s="6">
        <f t="shared" si="0"/>
        <v>50.74</v>
      </c>
      <c r="F11" s="3">
        <v>20.07</v>
      </c>
      <c r="G11" s="7">
        <f t="shared" si="1"/>
        <v>0.83799999999999997</v>
      </c>
      <c r="H11" s="3">
        <f>G11*(1.33*E11+F11)</f>
        <v>73.370419600000005</v>
      </c>
    </row>
    <row r="12" spans="1:8">
      <c r="A12" s="3" t="s">
        <v>14</v>
      </c>
      <c r="B12" s="3">
        <f>0.3*B2</f>
        <v>29.4</v>
      </c>
      <c r="C12" s="3">
        <v>43.54</v>
      </c>
      <c r="D12" s="3">
        <v>33.979999999999997</v>
      </c>
      <c r="E12" s="6">
        <f t="shared" si="0"/>
        <v>43.54</v>
      </c>
      <c r="F12" s="3">
        <v>15.37</v>
      </c>
      <c r="G12" s="7">
        <f t="shared" si="1"/>
        <v>0.83799999999999997</v>
      </c>
      <c r="H12" s="3">
        <f>G12*(1.33*E12+F12)</f>
        <v>61.4071316</v>
      </c>
    </row>
    <row r="13" spans="1:8">
      <c r="A13" s="3" t="s">
        <v>15</v>
      </c>
      <c r="B13" s="3">
        <f>0.4*B2</f>
        <v>39.200000000000003</v>
      </c>
      <c r="C13" s="3">
        <v>36.340000000000003</v>
      </c>
      <c r="D13" s="3">
        <v>28.98</v>
      </c>
      <c r="E13" s="6">
        <f t="shared" si="0"/>
        <v>36.340000000000003</v>
      </c>
      <c r="F13" s="3">
        <v>11.29</v>
      </c>
      <c r="G13" s="7">
        <f t="shared" si="1"/>
        <v>0.83799999999999997</v>
      </c>
      <c r="H13" s="3">
        <f>G13*(1.33*E13+F13)</f>
        <v>49.963403600000007</v>
      </c>
    </row>
    <row r="14" spans="1:8">
      <c r="A14" s="3" t="s">
        <v>16</v>
      </c>
      <c r="B14" s="3">
        <f>0.5*B2</f>
        <v>49</v>
      </c>
      <c r="C14" s="3">
        <v>29.14</v>
      </c>
      <c r="D14" s="3">
        <v>23.98</v>
      </c>
      <c r="E14" s="6">
        <f t="shared" si="0"/>
        <v>29.14</v>
      </c>
      <c r="F14" s="3">
        <v>7.84</v>
      </c>
      <c r="G14" s="7">
        <f t="shared" si="1"/>
        <v>0.83799999999999997</v>
      </c>
      <c r="H14" s="3">
        <f>G14*(1.33*E14+F14)</f>
        <v>39.047615599999993</v>
      </c>
    </row>
    <row r="18" spans="1:7" ht="18">
      <c r="D18" s="31" t="s">
        <v>33</v>
      </c>
      <c r="E18" s="31"/>
    </row>
    <row r="20" spans="1:7">
      <c r="A20" s="34" t="s">
        <v>2</v>
      </c>
      <c r="B20" s="37" t="s">
        <v>26</v>
      </c>
      <c r="C20" s="37"/>
      <c r="D20" s="38"/>
      <c r="E20" s="39" t="s">
        <v>27</v>
      </c>
      <c r="F20" s="37"/>
      <c r="G20" s="38"/>
    </row>
    <row r="21" spans="1:7">
      <c r="A21" s="36"/>
      <c r="B21" s="3" t="s">
        <v>17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23</v>
      </c>
    </row>
    <row r="22" spans="1:7">
      <c r="A22" s="35"/>
      <c r="B22" s="3" t="s">
        <v>35</v>
      </c>
      <c r="C22" s="3" t="s">
        <v>35</v>
      </c>
      <c r="D22" s="3" t="s">
        <v>35</v>
      </c>
      <c r="E22" s="3" t="s">
        <v>35</v>
      </c>
      <c r="F22" s="3" t="s">
        <v>35</v>
      </c>
      <c r="G22" s="3" t="s">
        <v>35</v>
      </c>
    </row>
    <row r="23" spans="1:7">
      <c r="A23" s="3" t="s">
        <v>11</v>
      </c>
      <c r="B23" s="3">
        <v>17</v>
      </c>
      <c r="C23" s="3">
        <v>25</v>
      </c>
      <c r="D23" s="3">
        <v>6.46</v>
      </c>
      <c r="E23" s="3">
        <v>12</v>
      </c>
      <c r="F23" s="3">
        <v>10.5</v>
      </c>
      <c r="G23" s="3">
        <f t="shared" ref="G23:G29" si="2">H8</f>
        <v>98.880815599999991</v>
      </c>
    </row>
    <row r="24" spans="1:7">
      <c r="A24" s="3" t="s">
        <v>36</v>
      </c>
      <c r="B24" s="3">
        <v>16</v>
      </c>
      <c r="C24" s="3">
        <v>23.7</v>
      </c>
      <c r="D24" s="3">
        <v>6.46</v>
      </c>
      <c r="E24" s="3">
        <v>11</v>
      </c>
      <c r="F24" s="3">
        <v>9.8000000000000007</v>
      </c>
      <c r="G24" s="3">
        <f t="shared" si="2"/>
        <v>94.906349199999994</v>
      </c>
    </row>
    <row r="25" spans="1:7">
      <c r="A25" s="3" t="s">
        <v>12</v>
      </c>
      <c r="B25" s="3">
        <v>12</v>
      </c>
      <c r="C25" s="3">
        <v>20</v>
      </c>
      <c r="D25" s="3">
        <v>6.46</v>
      </c>
      <c r="E25" s="4">
        <v>9.5</v>
      </c>
      <c r="F25" s="6">
        <v>8.5</v>
      </c>
      <c r="G25" s="3">
        <f t="shared" si="2"/>
        <v>85.861647599999984</v>
      </c>
    </row>
    <row r="26" spans="1:7">
      <c r="A26" s="3" t="s">
        <v>13</v>
      </c>
      <c r="B26" s="3">
        <v>7</v>
      </c>
      <c r="C26" s="3">
        <v>15</v>
      </c>
      <c r="D26" s="3">
        <v>6.46</v>
      </c>
      <c r="E26" s="3">
        <v>7</v>
      </c>
      <c r="F26" s="3">
        <v>6.5</v>
      </c>
      <c r="G26" s="3">
        <f t="shared" si="2"/>
        <v>73.370419600000005</v>
      </c>
    </row>
    <row r="27" spans="1:7">
      <c r="A27" s="3" t="s">
        <v>14</v>
      </c>
      <c r="B27" s="3">
        <v>6</v>
      </c>
      <c r="C27" s="3">
        <v>10</v>
      </c>
      <c r="D27" s="3">
        <v>2.16</v>
      </c>
      <c r="E27" s="3">
        <v>5</v>
      </c>
      <c r="F27" s="3">
        <v>4.5</v>
      </c>
      <c r="G27" s="3">
        <f t="shared" si="2"/>
        <v>61.4071316</v>
      </c>
    </row>
    <row r="28" spans="1:7">
      <c r="A28" s="3" t="s">
        <v>15</v>
      </c>
      <c r="B28" s="3">
        <v>3</v>
      </c>
      <c r="C28" s="3">
        <v>5</v>
      </c>
      <c r="D28" s="3">
        <v>2.16</v>
      </c>
      <c r="E28" s="3">
        <v>2.5</v>
      </c>
      <c r="F28" s="3">
        <v>2.5</v>
      </c>
      <c r="G28" s="3">
        <f t="shared" si="2"/>
        <v>49.963403600000007</v>
      </c>
    </row>
    <row r="29" spans="1:7">
      <c r="A29" s="3" t="s">
        <v>16</v>
      </c>
      <c r="B29" s="3">
        <v>0</v>
      </c>
      <c r="C29" s="3">
        <v>0</v>
      </c>
      <c r="D29" s="3">
        <v>2.16</v>
      </c>
      <c r="E29" s="3">
        <v>0</v>
      </c>
      <c r="F29" s="3">
        <v>0</v>
      </c>
      <c r="G29" s="3">
        <f t="shared" si="2"/>
        <v>39.047615599999993</v>
      </c>
    </row>
    <row r="33" spans="3:6" ht="18">
      <c r="D33" s="31" t="s">
        <v>34</v>
      </c>
      <c r="E33" s="31"/>
    </row>
    <row r="36" spans="3:6">
      <c r="C36" s="34" t="s">
        <v>2</v>
      </c>
      <c r="D36" s="39" t="s">
        <v>31</v>
      </c>
      <c r="E36" s="37"/>
      <c r="F36" s="38"/>
    </row>
    <row r="37" spans="3:6">
      <c r="C37" s="40"/>
      <c r="D37" s="3" t="s">
        <v>28</v>
      </c>
      <c r="E37" s="3" t="s">
        <v>29</v>
      </c>
      <c r="F37" s="3" t="s">
        <v>30</v>
      </c>
    </row>
    <row r="38" spans="3:6">
      <c r="C38" s="41"/>
      <c r="D38" s="3" t="s">
        <v>35</v>
      </c>
      <c r="E38" s="3" t="s">
        <v>35</v>
      </c>
      <c r="F38" s="3" t="s">
        <v>35</v>
      </c>
    </row>
    <row r="39" spans="3:6">
      <c r="C39" s="3" t="s">
        <v>11</v>
      </c>
      <c r="D39" s="3">
        <f t="shared" ref="D39:D45" si="3">1.25*(B23+C23+D23)+1.5*(E23+F23)+1.75*G23</f>
        <v>267.3664273</v>
      </c>
      <c r="E39" s="3">
        <f t="shared" ref="E39:E45" si="4">1*(B23+C23+D23)+1*(E23+F23)+1*G23</f>
        <v>169.84081559999998</v>
      </c>
      <c r="F39" s="3">
        <f t="shared" ref="F39:F45" si="5">1*(B23+C23+D23)+1*(E23+F23)+0.8*G23</f>
        <v>150.06465248000001</v>
      </c>
    </row>
    <row r="40" spans="3:6">
      <c r="C40" s="3" t="s">
        <v>36</v>
      </c>
      <c r="D40" s="3">
        <f t="shared" si="3"/>
        <v>254.98611109999999</v>
      </c>
      <c r="E40" s="3">
        <f t="shared" si="4"/>
        <v>161.8663492</v>
      </c>
      <c r="F40" s="3">
        <f t="shared" si="5"/>
        <v>142.88507936000002</v>
      </c>
    </row>
    <row r="41" spans="3:6">
      <c r="C41" s="3" t="s">
        <v>12</v>
      </c>
      <c r="D41" s="3">
        <f t="shared" si="3"/>
        <v>225.33288329999999</v>
      </c>
      <c r="E41" s="3">
        <f t="shared" si="4"/>
        <v>142.32164759999998</v>
      </c>
      <c r="F41" s="3">
        <f t="shared" si="5"/>
        <v>125.14931808</v>
      </c>
    </row>
    <row r="42" spans="3:6">
      <c r="C42" s="3" t="s">
        <v>13</v>
      </c>
      <c r="D42" s="3">
        <f t="shared" si="3"/>
        <v>184.2232343</v>
      </c>
      <c r="E42" s="3">
        <f t="shared" si="4"/>
        <v>115.3304196</v>
      </c>
      <c r="F42" s="3">
        <f t="shared" si="5"/>
        <v>100.65633568000001</v>
      </c>
    </row>
    <row r="43" spans="3:6">
      <c r="C43" s="3" t="s">
        <v>14</v>
      </c>
      <c r="D43" s="3">
        <f t="shared" si="3"/>
        <v>144.4124803</v>
      </c>
      <c r="E43" s="3">
        <f t="shared" si="4"/>
        <v>89.067131599999996</v>
      </c>
      <c r="F43" s="3">
        <f t="shared" si="5"/>
        <v>76.785705280000002</v>
      </c>
    </row>
    <row r="44" spans="3:6">
      <c r="C44" s="3" t="s">
        <v>15</v>
      </c>
      <c r="D44" s="3">
        <f t="shared" si="3"/>
        <v>107.63595630000002</v>
      </c>
      <c r="E44" s="3">
        <f t="shared" si="4"/>
        <v>65.123403600000003</v>
      </c>
      <c r="F44" s="3">
        <f t="shared" si="5"/>
        <v>55.130722880000008</v>
      </c>
    </row>
    <row r="45" spans="3:6">
      <c r="C45" s="3" t="s">
        <v>16</v>
      </c>
      <c r="D45" s="3">
        <f t="shared" si="3"/>
        <v>71.033327299999996</v>
      </c>
      <c r="E45" s="3">
        <f t="shared" si="4"/>
        <v>41.207615599999997</v>
      </c>
      <c r="F45" s="3">
        <f t="shared" si="5"/>
        <v>33.398092479999995</v>
      </c>
    </row>
  </sheetData>
  <mergeCells count="9">
    <mergeCell ref="D33:E33"/>
    <mergeCell ref="C36:C38"/>
    <mergeCell ref="D36:F36"/>
    <mergeCell ref="D4:E4"/>
    <mergeCell ref="A6:A7"/>
    <mergeCell ref="D18:E18"/>
    <mergeCell ref="A20:A22"/>
    <mergeCell ref="B20:D20"/>
    <mergeCell ref="E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6"/>
  <sheetViews>
    <sheetView topLeftCell="A10" workbookViewId="0">
      <selection activeCell="S16" sqref="S16:S20"/>
    </sheetView>
  </sheetViews>
  <sheetFormatPr defaultColWidth="9.109375" defaultRowHeight="14.4"/>
  <cols>
    <col min="1" max="1" width="17.5546875" style="2" customWidth="1"/>
    <col min="2" max="2" width="12" style="2" customWidth="1"/>
    <col min="3" max="3" width="12.33203125" style="2" customWidth="1"/>
    <col min="4" max="4" width="12.5546875" style="2" customWidth="1"/>
    <col min="5" max="5" width="12" style="2" customWidth="1"/>
    <col min="6" max="6" width="12.88671875" style="2" customWidth="1"/>
    <col min="7" max="7" width="13" style="2" customWidth="1"/>
    <col min="8" max="8" width="12.88671875" style="2" customWidth="1"/>
    <col min="9" max="9" width="5.88671875" style="2" customWidth="1"/>
    <col min="10" max="12" width="9.109375" style="2"/>
    <col min="13" max="13" width="9.109375" style="14"/>
    <col min="14" max="14" width="9.109375" style="2"/>
    <col min="15" max="15" width="12.44140625" style="2" customWidth="1"/>
    <col min="16" max="17" width="9.109375" style="2"/>
    <col min="18" max="18" width="10" style="2" customWidth="1"/>
    <col min="19" max="16384" width="9.109375" style="2"/>
  </cols>
  <sheetData>
    <row r="1" spans="1:20" ht="18">
      <c r="C1" s="31" t="s">
        <v>39</v>
      </c>
      <c r="D1" s="31"/>
      <c r="E1" s="31"/>
      <c r="F1" s="31"/>
    </row>
    <row r="3" spans="1:20">
      <c r="A3" s="11" t="s">
        <v>1</v>
      </c>
      <c r="B3" s="11">
        <v>98</v>
      </c>
      <c r="E3" s="39" t="s">
        <v>26</v>
      </c>
      <c r="F3" s="38"/>
      <c r="G3" s="39" t="s">
        <v>27</v>
      </c>
      <c r="H3" s="38"/>
    </row>
    <row r="4" spans="1:20" ht="15.6">
      <c r="A4" s="11" t="s">
        <v>68</v>
      </c>
      <c r="B4" s="11">
        <v>4.8</v>
      </c>
      <c r="E4" s="10" t="s">
        <v>49</v>
      </c>
      <c r="F4" s="10" t="s">
        <v>50</v>
      </c>
      <c r="G4" s="10" t="s">
        <v>49</v>
      </c>
      <c r="H4" s="10" t="s">
        <v>50</v>
      </c>
    </row>
    <row r="5" spans="1:20" ht="15.6">
      <c r="A5" s="11" t="s">
        <v>69</v>
      </c>
      <c r="B5" s="11">
        <v>6</v>
      </c>
      <c r="E5" s="11" t="s">
        <v>51</v>
      </c>
      <c r="F5" s="11" t="s">
        <v>51</v>
      </c>
      <c r="G5" s="11" t="s">
        <v>51</v>
      </c>
      <c r="H5" s="11" t="s">
        <v>51</v>
      </c>
    </row>
    <row r="6" spans="1:20">
      <c r="A6" s="11" t="s">
        <v>52</v>
      </c>
      <c r="B6" s="11">
        <v>29.18</v>
      </c>
      <c r="E6" s="32">
        <f>Sheet4!I9</f>
        <v>20587.31049971926</v>
      </c>
      <c r="F6" s="32">
        <f>Sheet4!I11</f>
        <v>20157.229246838921</v>
      </c>
      <c r="G6" s="32">
        <f>Sheet4!K9</f>
        <v>46448.702870978901</v>
      </c>
      <c r="H6" s="32">
        <f>Sheet4!K11</f>
        <v>26543.427554852737</v>
      </c>
    </row>
    <row r="7" spans="1:20" s="14" customFormat="1">
      <c r="A7" s="12" t="s">
        <v>105</v>
      </c>
      <c r="B7" s="12">
        <v>1.2248000000000001</v>
      </c>
      <c r="E7" s="32"/>
      <c r="F7" s="32"/>
      <c r="G7" s="32"/>
      <c r="H7" s="32"/>
    </row>
    <row r="8" spans="1:20">
      <c r="A8" s="11" t="s">
        <v>56</v>
      </c>
      <c r="B8" s="11">
        <v>1085</v>
      </c>
      <c r="E8" s="32"/>
      <c r="F8" s="32"/>
      <c r="G8" s="32"/>
      <c r="H8" s="32"/>
    </row>
    <row r="10" spans="1:20">
      <c r="A10" s="46" t="s">
        <v>41</v>
      </c>
      <c r="B10" s="46" t="s">
        <v>59</v>
      </c>
      <c r="C10" s="46" t="s">
        <v>40</v>
      </c>
      <c r="D10" s="46" t="s">
        <v>42</v>
      </c>
      <c r="E10" s="46" t="s">
        <v>43</v>
      </c>
      <c r="F10" s="46" t="s">
        <v>44</v>
      </c>
      <c r="G10" s="46" t="s">
        <v>45</v>
      </c>
      <c r="H10" s="46" t="s">
        <v>46</v>
      </c>
      <c r="J10" s="51" t="s">
        <v>26</v>
      </c>
      <c r="K10" s="51"/>
      <c r="L10" s="51" t="s">
        <v>27</v>
      </c>
      <c r="M10" s="51"/>
      <c r="N10" s="51"/>
      <c r="O10" s="45" t="s">
        <v>53</v>
      </c>
      <c r="P10" s="53" t="s">
        <v>54</v>
      </c>
      <c r="Q10" s="53" t="s">
        <v>55</v>
      </c>
      <c r="R10" s="52" t="s">
        <v>45</v>
      </c>
      <c r="S10" s="50" t="s">
        <v>106</v>
      </c>
      <c r="T10" s="51"/>
    </row>
    <row r="11" spans="1:20">
      <c r="A11" s="46"/>
      <c r="B11" s="46"/>
      <c r="C11" s="46"/>
      <c r="D11" s="46"/>
      <c r="E11" s="46"/>
      <c r="F11" s="46"/>
      <c r="G11" s="46"/>
      <c r="H11" s="46"/>
      <c r="J11" s="50" t="s">
        <v>49</v>
      </c>
      <c r="K11" s="50" t="s">
        <v>50</v>
      </c>
      <c r="L11" s="50" t="s">
        <v>49</v>
      </c>
      <c r="M11" s="53" t="s">
        <v>99</v>
      </c>
      <c r="N11" s="50" t="s">
        <v>50</v>
      </c>
      <c r="O11" s="45"/>
      <c r="P11" s="53"/>
      <c r="Q11" s="53"/>
      <c r="R11" s="52"/>
      <c r="S11" s="50"/>
      <c r="T11" s="51"/>
    </row>
    <row r="12" spans="1:20">
      <c r="A12" s="46"/>
      <c r="B12" s="46"/>
      <c r="C12" s="46"/>
      <c r="D12" s="46"/>
      <c r="E12" s="46"/>
      <c r="F12" s="46"/>
      <c r="G12" s="46"/>
      <c r="H12" s="46"/>
      <c r="J12" s="50"/>
      <c r="K12" s="50"/>
      <c r="L12" s="50"/>
      <c r="M12" s="53"/>
      <c r="N12" s="50"/>
      <c r="O12" s="45"/>
      <c r="P12" s="53"/>
      <c r="Q12" s="53"/>
      <c r="R12" s="52"/>
      <c r="S12" s="50"/>
      <c r="T12" s="51"/>
    </row>
    <row r="13" spans="1:20">
      <c r="A13" s="46"/>
      <c r="B13" s="46"/>
      <c r="C13" s="46"/>
      <c r="D13" s="46"/>
      <c r="E13" s="46"/>
      <c r="F13" s="46"/>
      <c r="G13" s="46"/>
      <c r="H13" s="46"/>
      <c r="J13" s="50"/>
      <c r="K13" s="50"/>
      <c r="L13" s="50"/>
      <c r="M13" s="53"/>
      <c r="N13" s="50"/>
      <c r="O13" s="45"/>
      <c r="P13" s="53"/>
      <c r="Q13" s="53"/>
      <c r="R13" s="52"/>
      <c r="S13" s="50"/>
      <c r="T13" s="51"/>
    </row>
    <row r="14" spans="1:20">
      <c r="A14" s="46"/>
      <c r="B14" s="16" t="s">
        <v>9</v>
      </c>
      <c r="C14" s="11" t="s">
        <v>47</v>
      </c>
      <c r="D14" s="11" t="s">
        <v>47</v>
      </c>
      <c r="E14" s="11" t="s">
        <v>47</v>
      </c>
      <c r="F14" s="11" t="s">
        <v>48</v>
      </c>
      <c r="G14" s="11" t="s">
        <v>35</v>
      </c>
      <c r="H14" s="11" t="s">
        <v>35</v>
      </c>
      <c r="J14" s="2" t="s">
        <v>51</v>
      </c>
      <c r="K14" s="2" t="s">
        <v>51</v>
      </c>
      <c r="L14" s="2" t="s">
        <v>51</v>
      </c>
      <c r="M14" s="14" t="s">
        <v>51</v>
      </c>
      <c r="N14" s="2" t="s">
        <v>51</v>
      </c>
      <c r="O14" s="2" t="s">
        <v>48</v>
      </c>
      <c r="P14" s="2" t="s">
        <v>9</v>
      </c>
      <c r="Q14" s="2" t="s">
        <v>57</v>
      </c>
      <c r="R14" s="9" t="s">
        <v>35</v>
      </c>
    </row>
    <row r="15" spans="1:20">
      <c r="A15" s="12">
        <v>0</v>
      </c>
      <c r="B15" s="12">
        <v>0</v>
      </c>
      <c r="C15" s="12">
        <f>((Sheet1!B22+Sheet1!C22+Sheet1!D22)/Sheet3!K15 +(Sheet1!E22+Sheet1!F22+0.8*Sheet1!G22)/Sheet3!N15)*12</f>
        <v>0</v>
      </c>
      <c r="D15" s="12">
        <f>0.19*(B5)^0.5</f>
        <v>0.46540305112880381</v>
      </c>
      <c r="E15" s="12">
        <v>0</v>
      </c>
      <c r="F15" s="12">
        <v>0</v>
      </c>
      <c r="G15" s="12">
        <f>E15/(Q15^-1 +O15*K15^-1)</f>
        <v>0</v>
      </c>
      <c r="H15" s="12">
        <f>G15/0.8</f>
        <v>0</v>
      </c>
      <c r="I15" s="14"/>
      <c r="J15" s="14">
        <f>E6</f>
        <v>20587.31049971926</v>
      </c>
      <c r="K15" s="14">
        <f>F6</f>
        <v>20157.229246838921</v>
      </c>
      <c r="L15" s="14">
        <f>G6</f>
        <v>46448.702870978901</v>
      </c>
      <c r="M15" s="14">
        <f>Sheet4!K10</f>
        <v>62719.850537132181</v>
      </c>
      <c r="N15" s="14">
        <f>H6</f>
        <v>26543.427554852737</v>
      </c>
      <c r="O15" s="14">
        <f>B6</f>
        <v>29.18</v>
      </c>
      <c r="P15" s="14">
        <f>B3</f>
        <v>98</v>
      </c>
      <c r="Q15" s="14">
        <f>B8</f>
        <v>1085</v>
      </c>
      <c r="R15" s="14">
        <f>G20</f>
        <v>627.70261687351774</v>
      </c>
      <c r="S15" s="14">
        <f>B7</f>
        <v>1.2248000000000001</v>
      </c>
    </row>
    <row r="16" spans="1:20">
      <c r="A16" s="12" t="s">
        <v>12</v>
      </c>
      <c r="B16" s="12">
        <f>0.1*B3</f>
        <v>9.8000000000000007</v>
      </c>
      <c r="C16" s="12">
        <f>((Sheet1!B23+Sheet1!C23+Sheet1!D23)/Sheet3!K16 +(Sheet1!E23+Sheet1!F23+0.8*Sheet1!G23)/Sheet3!N16)*12</f>
        <v>0.72578229931274973</v>
      </c>
      <c r="D16" s="12">
        <f>D15</f>
        <v>0.46540305112880381</v>
      </c>
      <c r="E16" s="12">
        <f>C16-D16</f>
        <v>0.26037924818394592</v>
      </c>
      <c r="F16" s="12">
        <f>4*O16*B16*(P16-B16)/P16^2</f>
        <v>10.504799999999999</v>
      </c>
      <c r="G16" s="12">
        <f t="shared" ref="G16:G20" si="0">E16/(Q16^-1 +O16*K16^-1)</f>
        <v>109.8981143304058</v>
      </c>
      <c r="H16" s="12">
        <f t="shared" ref="H16:H20" si="1">G16/0.8</f>
        <v>137.37264291300724</v>
      </c>
      <c r="I16" s="14"/>
      <c r="J16" s="14">
        <f t="shared" ref="J16:Q16" si="2">J15</f>
        <v>20587.31049971926</v>
      </c>
      <c r="K16" s="14">
        <f t="shared" si="2"/>
        <v>20157.229246838921</v>
      </c>
      <c r="L16" s="14">
        <f t="shared" si="2"/>
        <v>46448.702870978901</v>
      </c>
      <c r="M16" s="14">
        <f>M15</f>
        <v>62719.850537132181</v>
      </c>
      <c r="N16" s="14">
        <f t="shared" si="2"/>
        <v>26543.427554852737</v>
      </c>
      <c r="O16" s="14">
        <f t="shared" si="2"/>
        <v>29.18</v>
      </c>
      <c r="P16" s="14">
        <f t="shared" si="2"/>
        <v>98</v>
      </c>
      <c r="Q16" s="14">
        <f t="shared" si="2"/>
        <v>1085</v>
      </c>
      <c r="R16" s="14">
        <f>R15</f>
        <v>627.70261687351774</v>
      </c>
      <c r="S16" s="14">
        <f>S15</f>
        <v>1.2248000000000001</v>
      </c>
    </row>
    <row r="17" spans="1:19">
      <c r="A17" s="12" t="s">
        <v>13</v>
      </c>
      <c r="B17" s="12">
        <f>0.2*B3</f>
        <v>19.600000000000001</v>
      </c>
      <c r="C17" s="12">
        <f>((Sheet1!B24+Sheet1!C24+Sheet1!D24)/Sheet3!K17 +(Sheet1!E24+Sheet1!F24+0.8*Sheet1!G24)/Sheet3!N17)*12</f>
        <v>1.280365031941586</v>
      </c>
      <c r="D17" s="12">
        <f t="shared" ref="D17:D20" si="3">D16</f>
        <v>0.46540305112880381</v>
      </c>
      <c r="E17" s="12">
        <f t="shared" ref="E17:E20" si="4">C17-D17</f>
        <v>0.81496198081278215</v>
      </c>
      <c r="F17" s="12">
        <f t="shared" ref="F17:F20" si="5">4*O17*B17*(P17-B17)/P17^2</f>
        <v>18.6752</v>
      </c>
      <c r="G17" s="12">
        <f t="shared" si="0"/>
        <v>343.9705182612139</v>
      </c>
      <c r="H17" s="12">
        <f t="shared" si="1"/>
        <v>429.96314782651734</v>
      </c>
      <c r="I17" s="14"/>
      <c r="J17" s="14">
        <f t="shared" ref="J17:J20" si="6">J16</f>
        <v>20587.31049971926</v>
      </c>
      <c r="K17" s="14">
        <f t="shared" ref="K17:K20" si="7">K16</f>
        <v>20157.229246838921</v>
      </c>
      <c r="L17" s="14">
        <f t="shared" ref="L17:M20" si="8">L16</f>
        <v>46448.702870978901</v>
      </c>
      <c r="M17" s="14">
        <f t="shared" si="8"/>
        <v>62719.850537132181</v>
      </c>
      <c r="N17" s="14">
        <f t="shared" ref="N17:N20" si="9">N16</f>
        <v>26543.427554852737</v>
      </c>
      <c r="O17" s="14">
        <f t="shared" ref="O17:O20" si="10">O16</f>
        <v>29.18</v>
      </c>
      <c r="P17" s="14">
        <f t="shared" ref="P17:P20" si="11">P16</f>
        <v>98</v>
      </c>
      <c r="Q17" s="14">
        <f t="shared" ref="Q17:S20" si="12">Q16</f>
        <v>1085</v>
      </c>
      <c r="R17" s="14">
        <f t="shared" si="12"/>
        <v>627.70261687351774</v>
      </c>
      <c r="S17" s="14">
        <f t="shared" si="12"/>
        <v>1.2248000000000001</v>
      </c>
    </row>
    <row r="18" spans="1:19">
      <c r="A18" s="12" t="s">
        <v>14</v>
      </c>
      <c r="B18" s="12">
        <f>0.3*B3</f>
        <v>29.4</v>
      </c>
      <c r="C18" s="12">
        <f>((Sheet1!B25+Sheet1!C25+Sheet1!D25)/Sheet3!K18 +(Sheet1!E25+Sheet1!F25+0.8*Sheet1!G25)/Sheet3!N18)*12</f>
        <v>1.6672644286762324</v>
      </c>
      <c r="D18" s="12">
        <f t="shared" si="3"/>
        <v>0.46540305112880381</v>
      </c>
      <c r="E18" s="12">
        <f t="shared" si="4"/>
        <v>1.2018613775474285</v>
      </c>
      <c r="F18" s="12">
        <f t="shared" si="5"/>
        <v>24.511199999999995</v>
      </c>
      <c r="G18" s="12">
        <f t="shared" si="0"/>
        <v>507.26891639880711</v>
      </c>
      <c r="H18" s="12">
        <f t="shared" si="1"/>
        <v>634.08614549850881</v>
      </c>
      <c r="I18" s="14"/>
      <c r="J18" s="14">
        <f t="shared" si="6"/>
        <v>20587.31049971926</v>
      </c>
      <c r="K18" s="14">
        <f t="shared" si="7"/>
        <v>20157.229246838921</v>
      </c>
      <c r="L18" s="14">
        <f t="shared" si="8"/>
        <v>46448.702870978901</v>
      </c>
      <c r="M18" s="14">
        <f t="shared" si="8"/>
        <v>62719.850537132181</v>
      </c>
      <c r="N18" s="14">
        <f t="shared" si="9"/>
        <v>26543.427554852737</v>
      </c>
      <c r="O18" s="14">
        <f t="shared" si="10"/>
        <v>29.18</v>
      </c>
      <c r="P18" s="14">
        <f t="shared" si="11"/>
        <v>98</v>
      </c>
      <c r="Q18" s="14">
        <f t="shared" si="12"/>
        <v>1085</v>
      </c>
      <c r="R18" s="14">
        <f t="shared" si="12"/>
        <v>627.70261687351774</v>
      </c>
      <c r="S18" s="14">
        <f t="shared" si="12"/>
        <v>1.2248000000000001</v>
      </c>
    </row>
    <row r="19" spans="1:19">
      <c r="A19" s="12" t="s">
        <v>15</v>
      </c>
      <c r="B19" s="12">
        <f>0.4*B3</f>
        <v>39.200000000000003</v>
      </c>
      <c r="C19" s="12">
        <f>((Sheet1!B26+Sheet1!C26+Sheet1!D26)/Sheet3!K19 +(Sheet1!E26+Sheet1!F26+0.8*Sheet1!G26)/Sheet3!N19)*12</f>
        <v>1.8872747287305107</v>
      </c>
      <c r="D19" s="12">
        <f t="shared" si="3"/>
        <v>0.46540305112880381</v>
      </c>
      <c r="E19" s="12">
        <f t="shared" si="4"/>
        <v>1.4218716776017069</v>
      </c>
      <c r="F19" s="12">
        <f t="shared" si="5"/>
        <v>28.012799999999999</v>
      </c>
      <c r="G19" s="12">
        <f t="shared" si="0"/>
        <v>600.12853281551486</v>
      </c>
      <c r="H19" s="12">
        <f t="shared" si="1"/>
        <v>750.16066601939349</v>
      </c>
      <c r="I19" s="14"/>
      <c r="J19" s="14">
        <f t="shared" si="6"/>
        <v>20587.31049971926</v>
      </c>
      <c r="K19" s="14">
        <f t="shared" si="7"/>
        <v>20157.229246838921</v>
      </c>
      <c r="L19" s="14">
        <f t="shared" si="8"/>
        <v>46448.702870978901</v>
      </c>
      <c r="M19" s="14">
        <f t="shared" si="8"/>
        <v>62719.850537132181</v>
      </c>
      <c r="N19" s="14">
        <f t="shared" si="9"/>
        <v>26543.427554852737</v>
      </c>
      <c r="O19" s="14">
        <f t="shared" si="10"/>
        <v>29.18</v>
      </c>
      <c r="P19" s="14">
        <f t="shared" si="11"/>
        <v>98</v>
      </c>
      <c r="Q19" s="14">
        <f t="shared" si="12"/>
        <v>1085</v>
      </c>
      <c r="R19" s="14">
        <f t="shared" si="12"/>
        <v>627.70261687351774</v>
      </c>
      <c r="S19" s="14">
        <f t="shared" si="12"/>
        <v>1.2248000000000001</v>
      </c>
    </row>
    <row r="20" spans="1:19">
      <c r="A20" s="12" t="s">
        <v>16</v>
      </c>
      <c r="B20" s="12">
        <f>0.5*B3</f>
        <v>49</v>
      </c>
      <c r="C20" s="12">
        <f>((Sheet1!B27+Sheet1!C27+Sheet1!D27)/Sheet3!K20 +(Sheet1!E27+Sheet1!F27+0.8*Sheet1!G27)/Sheet3!N20)*12</f>
        <v>1.9526054154318138</v>
      </c>
      <c r="D20" s="12">
        <f t="shared" si="3"/>
        <v>0.46540305112880381</v>
      </c>
      <c r="E20" s="12">
        <f t="shared" si="4"/>
        <v>1.4872023643030099</v>
      </c>
      <c r="F20" s="12">
        <f t="shared" si="5"/>
        <v>29.179999999999996</v>
      </c>
      <c r="G20" s="12">
        <f t="shared" si="0"/>
        <v>627.70261687351774</v>
      </c>
      <c r="H20" s="12">
        <f t="shared" si="1"/>
        <v>784.62827109189709</v>
      </c>
      <c r="I20" s="14"/>
      <c r="J20" s="14">
        <f t="shared" si="6"/>
        <v>20587.31049971926</v>
      </c>
      <c r="K20" s="14">
        <f t="shared" si="7"/>
        <v>20157.229246838921</v>
      </c>
      <c r="L20" s="14">
        <f t="shared" si="8"/>
        <v>46448.702870978901</v>
      </c>
      <c r="M20" s="14">
        <f t="shared" si="8"/>
        <v>62719.850537132181</v>
      </c>
      <c r="N20" s="14">
        <f t="shared" si="9"/>
        <v>26543.427554852737</v>
      </c>
      <c r="O20" s="14">
        <f t="shared" si="10"/>
        <v>29.18</v>
      </c>
      <c r="P20" s="14">
        <f t="shared" si="11"/>
        <v>98</v>
      </c>
      <c r="Q20" s="14">
        <f t="shared" si="12"/>
        <v>1085</v>
      </c>
      <c r="R20" s="14">
        <f t="shared" si="12"/>
        <v>627.70261687351774</v>
      </c>
      <c r="S20" s="14">
        <f t="shared" si="12"/>
        <v>1.2248000000000001</v>
      </c>
    </row>
    <row r="23" spans="1:19" ht="18">
      <c r="A23" s="14"/>
      <c r="B23" s="14"/>
      <c r="C23" s="31" t="s">
        <v>58</v>
      </c>
      <c r="D23" s="31"/>
      <c r="E23" s="31"/>
      <c r="F23" s="31"/>
      <c r="G23" s="31"/>
      <c r="H23" s="14"/>
      <c r="I23" s="14"/>
      <c r="J23" s="14"/>
      <c r="K23" s="14"/>
      <c r="L23" s="14"/>
      <c r="N23" s="14"/>
      <c r="O23" s="14"/>
      <c r="P23" s="14"/>
      <c r="Q23" s="14"/>
      <c r="R23" s="14"/>
    </row>
    <row r="25" spans="1:19" ht="15" customHeight="1">
      <c r="A25" s="42" t="s">
        <v>41</v>
      </c>
      <c r="B25" s="42" t="s">
        <v>59</v>
      </c>
      <c r="C25" s="42" t="s">
        <v>60</v>
      </c>
      <c r="D25" s="42" t="s">
        <v>61</v>
      </c>
      <c r="E25" s="42" t="s">
        <v>62</v>
      </c>
      <c r="F25" s="39" t="s">
        <v>63</v>
      </c>
      <c r="G25" s="38"/>
      <c r="H25" s="42" t="s">
        <v>66</v>
      </c>
      <c r="I25" s="47" t="s">
        <v>67</v>
      </c>
      <c r="J25" s="14"/>
      <c r="K25" s="14"/>
      <c r="L25" s="14"/>
      <c r="N25" s="14"/>
      <c r="O25" s="14"/>
      <c r="P25" s="14"/>
      <c r="Q25" s="14"/>
      <c r="R25" s="14"/>
    </row>
    <row r="26" spans="1:19" ht="15" customHeight="1">
      <c r="A26" s="43"/>
      <c r="B26" s="43"/>
      <c r="C26" s="43"/>
      <c r="D26" s="43"/>
      <c r="E26" s="43"/>
      <c r="F26" s="42" t="s">
        <v>64</v>
      </c>
      <c r="G26" s="42" t="s">
        <v>65</v>
      </c>
      <c r="H26" s="43"/>
      <c r="I26" s="48"/>
      <c r="J26" s="14"/>
      <c r="K26" s="14"/>
      <c r="L26" s="14"/>
      <c r="N26" s="14"/>
      <c r="O26" s="14"/>
      <c r="P26" s="14"/>
      <c r="Q26" s="14"/>
      <c r="R26" s="14"/>
    </row>
    <row r="27" spans="1:19" ht="15" customHeight="1">
      <c r="A27" s="43"/>
      <c r="B27" s="43"/>
      <c r="C27" s="43"/>
      <c r="D27" s="43"/>
      <c r="E27" s="43"/>
      <c r="F27" s="43"/>
      <c r="G27" s="43"/>
      <c r="H27" s="43"/>
      <c r="I27" s="48"/>
      <c r="J27" s="14"/>
      <c r="K27" s="14"/>
      <c r="L27" s="15"/>
      <c r="N27" s="14"/>
      <c r="O27" s="14"/>
      <c r="P27" s="14"/>
      <c r="Q27" s="14"/>
      <c r="R27" s="14"/>
    </row>
    <row r="28" spans="1:19">
      <c r="A28" s="43"/>
      <c r="B28" s="43"/>
      <c r="C28" s="43"/>
      <c r="D28" s="43"/>
      <c r="E28" s="43"/>
      <c r="F28" s="43"/>
      <c r="G28" s="43"/>
      <c r="H28" s="43"/>
      <c r="I28" s="48"/>
      <c r="J28" s="14"/>
      <c r="K28" s="14"/>
      <c r="L28" s="14"/>
      <c r="N28" s="14"/>
      <c r="O28" s="14"/>
      <c r="P28" s="14"/>
      <c r="Q28" s="14"/>
      <c r="R28" s="14"/>
    </row>
    <row r="29" spans="1:19">
      <c r="A29" s="43"/>
      <c r="B29" s="44"/>
      <c r="C29" s="44"/>
      <c r="D29" s="44"/>
      <c r="E29" s="44"/>
      <c r="F29" s="44"/>
      <c r="G29" s="44"/>
      <c r="H29" s="44"/>
      <c r="I29" s="48"/>
      <c r="J29" s="14"/>
      <c r="K29" s="14"/>
      <c r="L29" s="14"/>
      <c r="N29" s="14"/>
      <c r="O29" s="14"/>
      <c r="P29" s="14"/>
      <c r="Q29" s="14"/>
      <c r="R29" s="14"/>
    </row>
    <row r="30" spans="1:19">
      <c r="A30" s="44"/>
      <c r="B30" s="16" t="s">
        <v>9</v>
      </c>
      <c r="C30" s="12" t="s">
        <v>10</v>
      </c>
      <c r="D30" s="12" t="s">
        <v>48</v>
      </c>
      <c r="E30" s="12" t="s">
        <v>35</v>
      </c>
      <c r="F30" s="12" t="s">
        <v>47</v>
      </c>
      <c r="G30" s="12" t="s">
        <v>47</v>
      </c>
      <c r="H30" s="12" t="s">
        <v>47</v>
      </c>
      <c r="I30" s="49"/>
      <c r="J30" s="14"/>
      <c r="K30" s="14"/>
      <c r="L30" s="14"/>
      <c r="N30" s="14"/>
      <c r="O30" s="14"/>
      <c r="P30" s="14"/>
      <c r="Q30" s="14"/>
      <c r="R30" s="14"/>
    </row>
    <row r="31" spans="1:19">
      <c r="A31" s="12">
        <v>0</v>
      </c>
      <c r="B31" s="12">
        <v>0</v>
      </c>
      <c r="C31" s="12">
        <f>Sheet1!B22</f>
        <v>0</v>
      </c>
      <c r="D31" s="12">
        <f>F15</f>
        <v>0</v>
      </c>
      <c r="E31" s="12">
        <f>H15</f>
        <v>0</v>
      </c>
      <c r="F31" s="12">
        <f>-E31/Q15 +  E31*D31/J15 -C31*12/J15</f>
        <v>0</v>
      </c>
      <c r="G31" s="12">
        <f>-E31/Q15 -  E31*D31/K15 +C31*12/K15</f>
        <v>0</v>
      </c>
      <c r="H31" s="42">
        <f>0.6*B4</f>
        <v>2.88</v>
      </c>
      <c r="I31" s="12" t="s">
        <v>70</v>
      </c>
      <c r="J31" s="14"/>
      <c r="K31" s="14"/>
      <c r="L31" s="14"/>
      <c r="N31" s="14"/>
      <c r="O31" s="14"/>
      <c r="P31" s="14"/>
      <c r="Q31" s="14"/>
      <c r="R31" s="14"/>
    </row>
    <row r="32" spans="1:19">
      <c r="A32" s="12" t="s">
        <v>12</v>
      </c>
      <c r="B32" s="12">
        <f>B16</f>
        <v>9.8000000000000007</v>
      </c>
      <c r="C32" s="12">
        <f>Sheet1!B23</f>
        <v>313.5</v>
      </c>
      <c r="D32" s="12">
        <f t="shared" ref="D32:D36" si="13">F16</f>
        <v>10.504799999999999</v>
      </c>
      <c r="E32" s="12">
        <f t="shared" ref="E32:E36" si="14">H16</f>
        <v>137.37264291300724</v>
      </c>
      <c r="F32" s="12">
        <f t="shared" ref="F32:F36" si="15">-E32/Q16 +  E32*D32/J16 -C32*12/J16</f>
        <v>-0.23924942931597803</v>
      </c>
      <c r="G32" s="12">
        <f t="shared" ref="G32:G36" si="16">-E32/Q16 -  E32*D32/K16 +C32*12/K16</f>
        <v>-1.1568736068315627E-2</v>
      </c>
      <c r="H32" s="43"/>
      <c r="I32" s="12" t="s">
        <v>70</v>
      </c>
      <c r="J32" s="14"/>
      <c r="K32" s="14"/>
      <c r="L32" s="14"/>
      <c r="N32" s="14"/>
      <c r="O32" s="14"/>
      <c r="P32" s="14"/>
      <c r="Q32" s="14"/>
      <c r="R32" s="14"/>
    </row>
    <row r="33" spans="1:18">
      <c r="A33" s="12" t="s">
        <v>13</v>
      </c>
      <c r="B33" s="12">
        <f t="shared" ref="B33:B36" si="17">B17</f>
        <v>19.600000000000001</v>
      </c>
      <c r="C33" s="12">
        <f>Sheet1!B24</f>
        <v>535</v>
      </c>
      <c r="D33" s="12">
        <f t="shared" si="13"/>
        <v>18.6752</v>
      </c>
      <c r="E33" s="12">
        <f t="shared" si="14"/>
        <v>429.96314782651734</v>
      </c>
      <c r="F33" s="12">
        <f t="shared" si="15"/>
        <v>-0.31809299480744463</v>
      </c>
      <c r="G33" s="12">
        <f t="shared" si="16"/>
        <v>-0.47613401378533143</v>
      </c>
      <c r="H33" s="43"/>
      <c r="I33" s="12" t="s">
        <v>70</v>
      </c>
      <c r="J33" s="14"/>
      <c r="K33" s="14"/>
      <c r="L33" s="14"/>
      <c r="N33" s="14"/>
      <c r="O33" s="14"/>
      <c r="P33" s="14"/>
      <c r="Q33" s="14"/>
      <c r="R33" s="14"/>
    </row>
    <row r="34" spans="1:18">
      <c r="A34" s="12" t="s">
        <v>14</v>
      </c>
      <c r="B34" s="12">
        <f t="shared" si="17"/>
        <v>29.4</v>
      </c>
      <c r="C34" s="12">
        <f>Sheet1!B25</f>
        <v>693</v>
      </c>
      <c r="D34" s="12">
        <f t="shared" si="13"/>
        <v>24.511199999999995</v>
      </c>
      <c r="E34" s="12">
        <f t="shared" si="14"/>
        <v>634.08614549850881</v>
      </c>
      <c r="F34" s="12">
        <f t="shared" si="15"/>
        <v>-0.23340797143335462</v>
      </c>
      <c r="G34" s="12">
        <f t="shared" si="16"/>
        <v>-0.94290353643512637</v>
      </c>
      <c r="H34" s="43"/>
      <c r="I34" s="12" t="s">
        <v>70</v>
      </c>
    </row>
    <row r="35" spans="1:18">
      <c r="A35" s="12" t="s">
        <v>15</v>
      </c>
      <c r="B35" s="12">
        <f t="shared" si="17"/>
        <v>39.200000000000003</v>
      </c>
      <c r="C35" s="12">
        <f>Sheet1!B26</f>
        <v>788</v>
      </c>
      <c r="D35" s="12">
        <f t="shared" si="13"/>
        <v>28.012799999999999</v>
      </c>
      <c r="E35" s="12">
        <f t="shared" si="14"/>
        <v>750.16066601939349</v>
      </c>
      <c r="F35" s="12">
        <f t="shared" si="15"/>
        <v>-0.12997363796151468</v>
      </c>
      <c r="G35" s="12">
        <f t="shared" si="16"/>
        <v>-1.2647896129313785</v>
      </c>
      <c r="H35" s="43"/>
      <c r="I35" s="12" t="s">
        <v>70</v>
      </c>
    </row>
    <row r="36" spans="1:18">
      <c r="A36" s="12" t="s">
        <v>16</v>
      </c>
      <c r="B36" s="12">
        <f t="shared" si="17"/>
        <v>49</v>
      </c>
      <c r="C36" s="12">
        <f>Sheet1!B27</f>
        <v>819.5</v>
      </c>
      <c r="D36" s="12">
        <f t="shared" si="13"/>
        <v>29.179999999999996</v>
      </c>
      <c r="E36" s="12">
        <f t="shared" si="14"/>
        <v>784.62827109189709</v>
      </c>
      <c r="F36" s="12">
        <f t="shared" si="15"/>
        <v>-8.8717769602795093E-2</v>
      </c>
      <c r="G36" s="12">
        <f t="shared" si="16"/>
        <v>-1.3711382851120295</v>
      </c>
      <c r="H36" s="44"/>
      <c r="I36" s="12" t="s">
        <v>70</v>
      </c>
    </row>
  </sheetData>
  <mergeCells count="40">
    <mergeCell ref="R10:R13"/>
    <mergeCell ref="S10:S13"/>
    <mergeCell ref="T10:T13"/>
    <mergeCell ref="M11:M13"/>
    <mergeCell ref="P10:P13"/>
    <mergeCell ref="Q10:Q13"/>
    <mergeCell ref="C1:F1"/>
    <mergeCell ref="N11:N13"/>
    <mergeCell ref="L10:N10"/>
    <mergeCell ref="H10:H13"/>
    <mergeCell ref="J10:K10"/>
    <mergeCell ref="J11:J13"/>
    <mergeCell ref="K11:K13"/>
    <mergeCell ref="L11:L13"/>
    <mergeCell ref="C10:C13"/>
    <mergeCell ref="D10:D13"/>
    <mergeCell ref="E10:E13"/>
    <mergeCell ref="F10:F13"/>
    <mergeCell ref="G10:G13"/>
    <mergeCell ref="E3:F3"/>
    <mergeCell ref="G3:H3"/>
    <mergeCell ref="C25:C29"/>
    <mergeCell ref="D25:D29"/>
    <mergeCell ref="B25:B29"/>
    <mergeCell ref="A25:A30"/>
    <mergeCell ref="O10:O13"/>
    <mergeCell ref="B10:B13"/>
    <mergeCell ref="A10:A14"/>
    <mergeCell ref="C23:G23"/>
    <mergeCell ref="I25:I30"/>
    <mergeCell ref="E25:E29"/>
    <mergeCell ref="F25:G25"/>
    <mergeCell ref="F26:F29"/>
    <mergeCell ref="G26:G29"/>
    <mergeCell ref="H25:H29"/>
    <mergeCell ref="H31:H36"/>
    <mergeCell ref="E6:E8"/>
    <mergeCell ref="F6:F8"/>
    <mergeCell ref="G6:G8"/>
    <mergeCell ref="H6:H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77"/>
  <sheetViews>
    <sheetView tabSelected="1" topLeftCell="A26" workbookViewId="0">
      <selection activeCell="C44" sqref="A1:XFD1048576"/>
    </sheetView>
  </sheetViews>
  <sheetFormatPr defaultRowHeight="14.4"/>
  <cols>
    <col min="1" max="1" width="15.44140625" customWidth="1"/>
    <col min="2" max="3" width="10.44140625" customWidth="1"/>
    <col min="4" max="4" width="11.33203125" customWidth="1"/>
    <col min="5" max="5" width="9.88671875" customWidth="1"/>
    <col min="7" max="7" width="10.88671875" customWidth="1"/>
    <col min="8" max="8" width="13.6640625" customWidth="1"/>
    <col min="9" max="9" width="10.109375" customWidth="1"/>
    <col min="10" max="10" width="10.33203125" customWidth="1"/>
    <col min="11" max="11" width="9.88671875" customWidth="1"/>
    <col min="15" max="15" width="10.33203125" customWidth="1"/>
    <col min="16" max="16" width="11.33203125" customWidth="1"/>
    <col min="17" max="17" width="10.44140625" customWidth="1"/>
    <col min="19" max="19" width="9.88671875" customWidth="1"/>
    <col min="21" max="21" width="10.109375" customWidth="1"/>
    <col min="22" max="22" width="10" customWidth="1"/>
    <col min="24" max="24" width="10.5546875" customWidth="1"/>
  </cols>
  <sheetData>
    <row r="1" spans="1:12" ht="18">
      <c r="A1" s="54" t="s">
        <v>71</v>
      </c>
      <c r="B1" s="54"/>
      <c r="C1" s="54"/>
      <c r="D1" s="54"/>
      <c r="E1" s="54"/>
      <c r="F1" s="17"/>
      <c r="I1" s="26" t="s">
        <v>89</v>
      </c>
    </row>
    <row r="3" spans="1:12">
      <c r="A3" t="s">
        <v>72</v>
      </c>
      <c r="B3">
        <v>4</v>
      </c>
      <c r="I3" s="46" t="s">
        <v>90</v>
      </c>
      <c r="J3" s="46"/>
      <c r="K3" s="46" t="s">
        <v>91</v>
      </c>
      <c r="L3" s="46"/>
    </row>
    <row r="4" spans="1:12">
      <c r="A4" t="s">
        <v>73</v>
      </c>
      <c r="B4">
        <v>6</v>
      </c>
      <c r="I4" s="46"/>
      <c r="J4" s="46"/>
      <c r="K4" s="46"/>
      <c r="L4" s="46"/>
    </row>
    <row r="5" spans="1:12">
      <c r="H5" s="7" t="s">
        <v>92</v>
      </c>
      <c r="I5" s="33">
        <v>1085</v>
      </c>
      <c r="J5" s="33"/>
      <c r="K5" s="33">
        <v>1697.23</v>
      </c>
      <c r="L5" s="33"/>
    </row>
    <row r="6" spans="1:12">
      <c r="B6" s="33" t="s">
        <v>74</v>
      </c>
      <c r="C6" s="33"/>
      <c r="D6" s="33" t="s">
        <v>75</v>
      </c>
      <c r="E6" s="33"/>
      <c r="F6" s="18"/>
      <c r="G6" s="18"/>
      <c r="H6" s="7" t="s">
        <v>93</v>
      </c>
      <c r="I6" s="33">
        <v>35.619999999999997</v>
      </c>
      <c r="J6" s="33"/>
      <c r="K6" s="33">
        <v>28.91</v>
      </c>
      <c r="L6" s="33"/>
    </row>
    <row r="7" spans="1:12">
      <c r="B7" s="55" t="s">
        <v>47</v>
      </c>
      <c r="C7" s="55"/>
      <c r="D7" s="33" t="s">
        <v>47</v>
      </c>
      <c r="E7" s="33"/>
      <c r="F7" s="18"/>
      <c r="G7" s="18"/>
      <c r="H7" s="7" t="s">
        <v>94</v>
      </c>
      <c r="I7" s="33">
        <v>36.380000000000003</v>
      </c>
      <c r="J7" s="33"/>
      <c r="K7" s="33">
        <v>50.59</v>
      </c>
      <c r="L7" s="33"/>
    </row>
    <row r="8" spans="1:12">
      <c r="A8" s="7" t="s">
        <v>76</v>
      </c>
      <c r="B8" s="19" t="s">
        <v>78</v>
      </c>
      <c r="C8" s="20">
        <f>-0.45*B3</f>
        <v>-1.8</v>
      </c>
      <c r="D8" s="23" t="s">
        <v>79</v>
      </c>
      <c r="E8" s="20">
        <f>0.19*(B3)^0.5</f>
        <v>0.38</v>
      </c>
      <c r="H8" s="7" t="s">
        <v>95</v>
      </c>
      <c r="I8" s="33">
        <v>733320</v>
      </c>
      <c r="J8" s="33"/>
      <c r="K8" s="33">
        <v>1342832</v>
      </c>
      <c r="L8" s="33"/>
    </row>
    <row r="9" spans="1:12">
      <c r="A9" s="7" t="s">
        <v>77</v>
      </c>
      <c r="B9" s="21" t="s">
        <v>78</v>
      </c>
      <c r="C9" s="22">
        <f>-0.45*B4</f>
        <v>-2.7</v>
      </c>
      <c r="D9" s="25" t="s">
        <v>79</v>
      </c>
      <c r="E9" s="22">
        <f>0.19*(B4)^0.5</f>
        <v>0.46540305112880381</v>
      </c>
      <c r="H9" s="7" t="s">
        <v>96</v>
      </c>
      <c r="I9" s="33">
        <f>I8/I6</f>
        <v>20587.31049971926</v>
      </c>
      <c r="J9" s="33"/>
      <c r="K9" s="33">
        <f>K8/K6</f>
        <v>46448.702870978901</v>
      </c>
      <c r="L9" s="33"/>
    </row>
    <row r="10" spans="1:12">
      <c r="H10" s="7" t="s">
        <v>98</v>
      </c>
      <c r="I10" s="33"/>
      <c r="J10" s="33"/>
      <c r="K10" s="33">
        <f>K8/(K6-7.5)</f>
        <v>62719.850537132181</v>
      </c>
      <c r="L10" s="33"/>
    </row>
    <row r="11" spans="1:12">
      <c r="H11" s="7" t="s">
        <v>97</v>
      </c>
      <c r="I11" s="33">
        <f>I8/I7</f>
        <v>20157.229246838921</v>
      </c>
      <c r="J11" s="33"/>
      <c r="K11" s="33">
        <f>K8/K7</f>
        <v>26543.427554852737</v>
      </c>
      <c r="L11" s="33"/>
    </row>
    <row r="15" spans="1:12" ht="18">
      <c r="D15" s="31" t="s">
        <v>80</v>
      </c>
      <c r="E15" s="31"/>
      <c r="F15" s="31"/>
      <c r="G15" s="31"/>
      <c r="H15" s="31"/>
    </row>
    <row r="17" spans="1:25">
      <c r="F17" s="56" t="s">
        <v>88</v>
      </c>
      <c r="G17" s="56"/>
      <c r="T17" s="56" t="s">
        <v>109</v>
      </c>
      <c r="U17" s="56"/>
    </row>
    <row r="18" spans="1:25">
      <c r="A18" s="7" t="s">
        <v>29</v>
      </c>
      <c r="B18" s="33" t="s">
        <v>87</v>
      </c>
      <c r="C18" s="33"/>
      <c r="D18" s="33"/>
      <c r="E18" s="33"/>
      <c r="F18" s="33"/>
      <c r="G18" s="33"/>
      <c r="H18" s="33"/>
      <c r="I18" s="33"/>
      <c r="J18" s="33"/>
      <c r="K18" s="33"/>
      <c r="O18" s="7" t="s">
        <v>30</v>
      </c>
      <c r="P18" s="33" t="s">
        <v>87</v>
      </c>
      <c r="Q18" s="33"/>
      <c r="R18" s="33"/>
      <c r="S18" s="33"/>
      <c r="T18" s="33"/>
      <c r="U18" s="33"/>
      <c r="V18" s="33"/>
      <c r="W18" s="33"/>
      <c r="X18" s="33"/>
      <c r="Y18" s="33"/>
    </row>
    <row r="19" spans="1:25">
      <c r="A19" s="7" t="s">
        <v>81</v>
      </c>
      <c r="B19" s="33" t="s">
        <v>64</v>
      </c>
      <c r="C19" s="33"/>
      <c r="D19" s="33"/>
      <c r="E19" s="33"/>
      <c r="F19" s="33"/>
      <c r="G19" s="33" t="s">
        <v>65</v>
      </c>
      <c r="H19" s="33"/>
      <c r="I19" s="33"/>
      <c r="J19" s="33"/>
      <c r="K19" s="33"/>
      <c r="O19" s="7" t="s">
        <v>81</v>
      </c>
      <c r="P19" s="33" t="s">
        <v>64</v>
      </c>
      <c r="Q19" s="33"/>
      <c r="R19" s="33"/>
      <c r="S19" s="33"/>
      <c r="T19" s="33"/>
      <c r="U19" s="33" t="s">
        <v>65</v>
      </c>
      <c r="V19" s="33"/>
      <c r="W19" s="33"/>
      <c r="X19" s="33"/>
      <c r="Y19" s="33"/>
    </row>
    <row r="20" spans="1:25" ht="15" customHeight="1">
      <c r="A20" s="46" t="s">
        <v>82</v>
      </c>
      <c r="B20" s="46" t="s">
        <v>83</v>
      </c>
      <c r="C20" s="46" t="s">
        <v>27</v>
      </c>
      <c r="D20" s="46" t="s">
        <v>84</v>
      </c>
      <c r="E20" s="46" t="s">
        <v>85</v>
      </c>
      <c r="F20" s="46" t="s">
        <v>86</v>
      </c>
      <c r="G20" s="46" t="s">
        <v>83</v>
      </c>
      <c r="H20" s="46" t="s">
        <v>27</v>
      </c>
      <c r="I20" s="46" t="s">
        <v>84</v>
      </c>
      <c r="J20" s="46" t="s">
        <v>85</v>
      </c>
      <c r="K20" s="46" t="s">
        <v>86</v>
      </c>
      <c r="O20" s="46" t="s">
        <v>82</v>
      </c>
      <c r="P20" s="46" t="s">
        <v>83</v>
      </c>
      <c r="Q20" s="46" t="s">
        <v>27</v>
      </c>
      <c r="R20" s="46" t="s">
        <v>84</v>
      </c>
      <c r="S20" s="46" t="s">
        <v>85</v>
      </c>
      <c r="T20" s="46" t="s">
        <v>86</v>
      </c>
      <c r="U20" s="46" t="s">
        <v>83</v>
      </c>
      <c r="V20" s="46" t="s">
        <v>27</v>
      </c>
      <c r="W20" s="46" t="s">
        <v>84</v>
      </c>
      <c r="X20" s="46" t="s">
        <v>85</v>
      </c>
      <c r="Y20" s="46" t="s">
        <v>86</v>
      </c>
    </row>
    <row r="21" spans="1: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</row>
    <row r="22" spans="1: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5">
      <c r="A23" s="46"/>
      <c r="B23" s="7" t="s">
        <v>47</v>
      </c>
      <c r="C23" s="7" t="s">
        <v>47</v>
      </c>
      <c r="D23" s="7" t="s">
        <v>47</v>
      </c>
      <c r="E23" s="7" t="s">
        <v>47</v>
      </c>
      <c r="F23" s="7"/>
      <c r="G23" s="7" t="s">
        <v>47</v>
      </c>
      <c r="H23" s="7" t="s">
        <v>47</v>
      </c>
      <c r="I23" s="7" t="s">
        <v>47</v>
      </c>
      <c r="J23" s="7" t="s">
        <v>47</v>
      </c>
      <c r="K23" s="7"/>
      <c r="O23" s="46"/>
      <c r="P23" s="30" t="s">
        <v>47</v>
      </c>
      <c r="Q23" s="30" t="s">
        <v>47</v>
      </c>
      <c r="R23" s="30" t="s">
        <v>47</v>
      </c>
      <c r="S23" s="30" t="s">
        <v>47</v>
      </c>
      <c r="T23" s="30"/>
      <c r="U23" s="30" t="s">
        <v>47</v>
      </c>
      <c r="V23" s="30" t="s">
        <v>47</v>
      </c>
      <c r="W23" s="30" t="s">
        <v>47</v>
      </c>
      <c r="X23" s="30" t="s">
        <v>47</v>
      </c>
      <c r="Y23" s="30"/>
    </row>
    <row r="24" spans="1:25">
      <c r="A24" s="27">
        <v>0</v>
      </c>
      <c r="B24" s="19">
        <f>-Sheet3!R15/Sheet3!Q15 +Sheet3!R15*Sheet3!F15/Sheet3!J15 -(Sheet1!B22+Sheet1!C22+Sheet1!D22)*12/Sheet3!J15</f>
        <v>-0.57852775748711316</v>
      </c>
      <c r="C24" s="23">
        <f>-(Sheet1!E22+Sheet1!F22+Sheet1!G22)*12/Sheet3!M15</f>
        <v>0</v>
      </c>
      <c r="D24" s="23">
        <f>B24+C24</f>
        <v>-0.57852775748711316</v>
      </c>
      <c r="E24" s="23">
        <f>C9</f>
        <v>-2.7</v>
      </c>
      <c r="F24" s="20" t="s">
        <v>100</v>
      </c>
      <c r="G24" s="19">
        <f>-Sheet3!R15/Sheet3!Q15 -Sheet3!R15*Sheet3!F15/Sheet3!K15 +(Sheet1!B22+Sheet1!C22+Sheet1!D22)*12/Sheet3!K15</f>
        <v>-0.57852775748711316</v>
      </c>
      <c r="H24" s="23">
        <f>(Sheet1!E22+Sheet1!F22+Sheet1!G22)*12/Sheet3!N15</f>
        <v>0</v>
      </c>
      <c r="I24" s="23">
        <f>G24+H24</f>
        <v>-0.57852775748711316</v>
      </c>
      <c r="J24" s="23">
        <f>C9</f>
        <v>-2.7</v>
      </c>
      <c r="K24" s="20" t="s">
        <v>100</v>
      </c>
      <c r="O24" s="29">
        <v>0</v>
      </c>
      <c r="P24" s="19">
        <f>-Sheet3!R15/Sheet3!Q15 +Sheet3!R15*Sheet3!F15/Sheet3!J15 -(Sheet1!B22+Sheet1!C22+Sheet1!D22)*12/Sheet3!J15</f>
        <v>-0.57852775748711316</v>
      </c>
      <c r="Q24" s="23">
        <f>-(Sheet1!E22+Sheet1!F22+0.8*Sheet1!G22)*12/Sheet3!M15</f>
        <v>0</v>
      </c>
      <c r="R24" s="23">
        <f>P24+Q24</f>
        <v>-0.57852775748711316</v>
      </c>
      <c r="S24" s="23">
        <f>C9</f>
        <v>-2.7</v>
      </c>
      <c r="T24" s="23" t="s">
        <v>100</v>
      </c>
      <c r="U24" s="19">
        <f>-Sheet3!R15/Sheet3!Q15 -Sheet3!R15*Sheet3!F15/Sheet3!K15 +(Sheet1!B22+Sheet1!C22+Sheet1!D22)*12/Sheet3!K15</f>
        <v>-0.57852775748711316</v>
      </c>
      <c r="V24" s="23">
        <f>(Sheet1!E22+Sheet1!F22+0.8*Sheet1!G22)*12/Sheet3!N15</f>
        <v>0</v>
      </c>
      <c r="W24" s="23">
        <f>U24+V24</f>
        <v>-0.57852775748711316</v>
      </c>
      <c r="X24" s="23">
        <f>C9</f>
        <v>-2.7</v>
      </c>
      <c r="Y24" s="20" t="s">
        <v>100</v>
      </c>
    </row>
    <row r="25" spans="1:25">
      <c r="A25" s="12" t="s">
        <v>12</v>
      </c>
      <c r="B25" s="28">
        <f>-Sheet3!R16/Sheet3!Q16 +Sheet3!R16*Sheet3!F16/Sheet3!J16 -(Sheet1!B23+Sheet1!C23+Sheet1!D23)*12/Sheet3!J16</f>
        <v>-0.60651147834637387</v>
      </c>
      <c r="C25" s="8">
        <f>-(Sheet1!E23+Sheet1!F23+Sheet1!G23)*12/Sheet3!M16</f>
        <v>-0.18623202542685907</v>
      </c>
      <c r="D25" s="8">
        <f t="shared" ref="D25:D29" si="0">B25+C25</f>
        <v>-0.79274350377323288</v>
      </c>
      <c r="E25" s="8">
        <f>E24</f>
        <v>-2.7</v>
      </c>
      <c r="F25" s="24" t="s">
        <v>100</v>
      </c>
      <c r="G25" s="28">
        <f>-Sheet3!R16/Sheet3!Q16 -Sheet3!R16*Sheet3!F16/Sheet3!K16 +(Sheet1!B23+Sheet1!C23+Sheet1!D23)*12/Sheet3!K16</f>
        <v>-0.54994696678357857</v>
      </c>
      <c r="H25" s="8">
        <f>(Sheet1!E23+Sheet1!F23+Sheet1!G23)*12/Sheet3!N16</f>
        <v>0.4400503580730874</v>
      </c>
      <c r="I25" s="8">
        <f t="shared" ref="I25:I29" si="1">G25+H25</f>
        <v>-0.10989660871049117</v>
      </c>
      <c r="J25" s="8">
        <f>J24</f>
        <v>-2.7</v>
      </c>
      <c r="K25" s="24" t="s">
        <v>100</v>
      </c>
      <c r="O25" s="13" t="s">
        <v>12</v>
      </c>
      <c r="P25" s="28">
        <f>-Sheet3!R16/Sheet3!Q16 +Sheet3!R16*Sheet3!F16/Sheet3!J16 -(Sheet1!B23+Sheet1!C23+Sheet1!D23)*12/Sheet3!J16</f>
        <v>-0.60651147834637387</v>
      </c>
      <c r="Q25" s="8">
        <f>-(Sheet1!E23+Sheet1!F23+0.8*Sheet1!G23)*12/Sheet3!M16</f>
        <v>-0.15661956710474581</v>
      </c>
      <c r="R25" s="8">
        <f t="shared" ref="R25:R29" si="2">P25+Q25</f>
        <v>-0.76313104545111965</v>
      </c>
      <c r="S25" s="8">
        <f>S24</f>
        <v>-2.7</v>
      </c>
      <c r="T25" s="8" t="s">
        <v>100</v>
      </c>
      <c r="U25" s="28">
        <f>-Sheet3!R16/Sheet3!Q16 -Sheet3!R16*Sheet3!F16/Sheet3!K16 +(Sheet1!B23+Sheet1!C23+Sheet1!D23)*12/Sheet3!K16</f>
        <v>-0.54994696678357857</v>
      </c>
      <c r="V25" s="8">
        <f>(Sheet1!E23+Sheet1!F23+0.8*Sheet1!G23)*12/Sheet3!N16</f>
        <v>0.37007865015549235</v>
      </c>
      <c r="W25" s="8">
        <f t="shared" ref="W25:W29" si="3">U25+V25</f>
        <v>-0.17986831662808622</v>
      </c>
      <c r="X25" s="8">
        <f>X24</f>
        <v>-2.7</v>
      </c>
      <c r="Y25" s="24" t="s">
        <v>100</v>
      </c>
    </row>
    <row r="26" spans="1:25">
      <c r="A26" s="12" t="s">
        <v>13</v>
      </c>
      <c r="B26" s="28">
        <f>-Sheet3!R17/Sheet3!Q17 +Sheet3!R17*Sheet3!F17/Sheet3!J17 -(Sheet1!B24+Sheet1!C24+Sheet1!D24)*12/Sheet3!J17</f>
        <v>-0.62348399834122104</v>
      </c>
      <c r="C26" s="8">
        <f>-(Sheet1!E24+Sheet1!F24+Sheet1!G24)*12/Sheet3!M17</f>
        <v>-0.32838380550359242</v>
      </c>
      <c r="D26" s="8">
        <f t="shared" si="0"/>
        <v>-0.9518678038448134</v>
      </c>
      <c r="E26" s="8">
        <f t="shared" ref="E26:E29" si="4">E25</f>
        <v>-2.7</v>
      </c>
      <c r="F26" s="24" t="s">
        <v>100</v>
      </c>
      <c r="G26" s="28">
        <f>-Sheet3!R17/Sheet3!Q17 -Sheet3!R17*Sheet3!F17/Sheet3!K17 +(Sheet1!B24+Sheet1!C24+Sheet1!D24)*12/Sheet3!K17</f>
        <v>-0.53261231553673583</v>
      </c>
      <c r="H26" s="8">
        <f>(Sheet1!E24+Sheet1!F24+Sheet1!G24)*12/Sheet3!N17</f>
        <v>0.77594286410213642</v>
      </c>
      <c r="I26" s="8">
        <f t="shared" si="1"/>
        <v>0.2433305485654006</v>
      </c>
      <c r="J26" s="8">
        <f>E9</f>
        <v>0.46540305112880381</v>
      </c>
      <c r="K26" s="24" t="s">
        <v>100</v>
      </c>
      <c r="O26" s="13" t="s">
        <v>13</v>
      </c>
      <c r="P26" s="28">
        <f>-Sheet3!R17/Sheet3!Q17 +Sheet3!R17*Sheet3!F17/Sheet3!J17 -(Sheet1!B24+Sheet1!C24+Sheet1!D24)*12/Sheet3!J17</f>
        <v>-0.62348399834122104</v>
      </c>
      <c r="Q26" s="8">
        <f>-(Sheet1!E24+Sheet1!F24+0.8*Sheet1!G24)*12/Sheet3!M17</f>
        <v>-0.27631039314642492</v>
      </c>
      <c r="R26" s="8">
        <f t="shared" si="2"/>
        <v>-0.89979439148764595</v>
      </c>
      <c r="S26" s="8">
        <f t="shared" ref="S26:S29" si="5">S25</f>
        <v>-2.7</v>
      </c>
      <c r="T26" s="8" t="s">
        <v>100</v>
      </c>
      <c r="U26" s="28">
        <f>-Sheet3!R17/Sheet3!Q17 -Sheet3!R17*Sheet3!F17/Sheet3!K17 +(Sheet1!B24+Sheet1!C24+Sheet1!D24)*12/Sheet3!K17</f>
        <v>-0.53261231553673583</v>
      </c>
      <c r="V26" s="8">
        <f>(Sheet1!E24+Sheet1!F24+0.8*Sheet1!G24)*12/Sheet3!N17</f>
        <v>0.65289784162903486</v>
      </c>
      <c r="W26" s="8">
        <f t="shared" si="3"/>
        <v>0.12028552609229903</v>
      </c>
      <c r="X26" s="8">
        <f>E9</f>
        <v>0.46540305112880381</v>
      </c>
      <c r="Y26" s="24" t="s">
        <v>100</v>
      </c>
    </row>
    <row r="27" spans="1:25">
      <c r="A27" s="12" t="s">
        <v>14</v>
      </c>
      <c r="B27" s="28">
        <f>-Sheet3!R18/Sheet3!Q18 +Sheet3!R18*Sheet3!F18/Sheet3!J18 -(Sheet1!B25+Sheet1!C25+Sheet1!D25)*12/Sheet3!J18</f>
        <v>-0.63352550074771419</v>
      </c>
      <c r="C27" s="8">
        <f>-(Sheet1!E25+Sheet1!F25+Sheet1!G25)*12/Sheet3!M18</f>
        <v>-0.42618269927436941</v>
      </c>
      <c r="D27" s="8">
        <f t="shared" si="0"/>
        <v>-1.0597082000220837</v>
      </c>
      <c r="E27" s="8">
        <f t="shared" si="4"/>
        <v>-2.7</v>
      </c>
      <c r="F27" s="24" t="s">
        <v>100</v>
      </c>
      <c r="G27" s="28">
        <f>-Sheet3!R18/Sheet3!Q18 -Sheet3!R18*Sheet3!F18/Sheet3!K18 +(Sheet1!B25+Sheet1!C25+Sheet1!D25)*12/Sheet3!K18</f>
        <v>-0.5223565643422321</v>
      </c>
      <c r="H27" s="8">
        <f>(Sheet1!E25+Sheet1!F25+Sheet1!G25)*12/Sheet3!N18</f>
        <v>1.0070332908122535</v>
      </c>
      <c r="I27" s="8">
        <f t="shared" si="1"/>
        <v>0.48467672647002136</v>
      </c>
      <c r="J27" s="8">
        <f>J26</f>
        <v>0.46540305112880381</v>
      </c>
      <c r="K27" s="24" t="s">
        <v>101</v>
      </c>
      <c r="O27" s="13" t="s">
        <v>14</v>
      </c>
      <c r="P27" s="28">
        <f>-Sheet3!R18/Sheet3!Q18 +Sheet3!R18*Sheet3!F18/Sheet3!J18 -(Sheet1!B25+Sheet1!C25+Sheet1!D25)*12/Sheet3!J18</f>
        <v>-0.63352550074771419</v>
      </c>
      <c r="Q27" s="8">
        <f>-(Sheet1!E25+Sheet1!F25+0.8*Sheet1!G25)*12/Sheet3!M18</f>
        <v>-0.35879696726440835</v>
      </c>
      <c r="R27" s="8">
        <f t="shared" si="2"/>
        <v>-0.99232246801212254</v>
      </c>
      <c r="S27" s="8">
        <f t="shared" si="5"/>
        <v>-2.7</v>
      </c>
      <c r="T27" s="8" t="s">
        <v>100</v>
      </c>
      <c r="U27" s="28">
        <f>-Sheet3!R18/Sheet3!Q18 -Sheet3!R18*Sheet3!F18/Sheet3!K18 +(Sheet1!B25+Sheet1!C25+Sheet1!D25)*12/Sheet3!K18</f>
        <v>-0.5223565643422321</v>
      </c>
      <c r="V27" s="8">
        <f>(Sheet1!E25+Sheet1!F25+0.8*Sheet1!G25)*12/Sheet3!N18</f>
        <v>0.847806565805998</v>
      </c>
      <c r="W27" s="8">
        <f t="shared" si="3"/>
        <v>0.3254500014637659</v>
      </c>
      <c r="X27" s="8">
        <f>X26</f>
        <v>0.46540305112880381</v>
      </c>
      <c r="Y27" s="24" t="s">
        <v>100</v>
      </c>
    </row>
    <row r="28" spans="1:25">
      <c r="A28" s="12" t="s">
        <v>15</v>
      </c>
      <c r="B28" s="28">
        <f>-Sheet3!R19/Sheet3!Q19 +Sheet3!R19*Sheet3!F19/Sheet3!J19 -(Sheet1!B26+Sheet1!C26+Sheet1!D26)*12/Sheet3!J19</f>
        <v>-0.63721886889100432</v>
      </c>
      <c r="C28" s="8">
        <f>-(Sheet1!E26+Sheet1!F26+Sheet1!G26)*12/Sheet3!M19</f>
        <v>-0.47971002070847285</v>
      </c>
      <c r="D28" s="8">
        <f t="shared" si="0"/>
        <v>-1.1169288895994771</v>
      </c>
      <c r="E28" s="8">
        <f t="shared" si="4"/>
        <v>-2.7</v>
      </c>
      <c r="F28" s="24" t="s">
        <v>100</v>
      </c>
      <c r="G28" s="28">
        <f>-Sheet3!R19/Sheet3!Q19 -Sheet3!R19*Sheet3!F19/Sheet3!K19 +(Sheet1!B26+Sheet1!C26+Sheet1!D26)*12/Sheet3!K19</f>
        <v>-0.51858439328516037</v>
      </c>
      <c r="H28" s="8">
        <f>(Sheet1!E26+Sheet1!F26+Sheet1!G26)*12/Sheet3!N19</f>
        <v>1.1335137761626177</v>
      </c>
      <c r="I28" s="8">
        <f t="shared" si="1"/>
        <v>0.61492938287745735</v>
      </c>
      <c r="J28" s="8">
        <f t="shared" ref="J28:J29" si="6">J27</f>
        <v>0.46540305112880381</v>
      </c>
      <c r="K28" s="24" t="s">
        <v>101</v>
      </c>
      <c r="O28" s="13" t="s">
        <v>15</v>
      </c>
      <c r="P28" s="28">
        <f>-Sheet3!R19/Sheet3!Q19 +Sheet3!R19*Sheet3!F19/Sheet3!J19 -(Sheet1!B26+Sheet1!C26+Sheet1!D26)*12/Sheet3!J19</f>
        <v>-0.63721886889100432</v>
      </c>
      <c r="Q28" s="8">
        <f>-(Sheet1!E26+Sheet1!F26+0.8*Sheet1!G26)*12/Sheet3!M19</f>
        <v>-0.40416347333277741</v>
      </c>
      <c r="R28" s="8">
        <f t="shared" si="2"/>
        <v>-1.0413823422237818</v>
      </c>
      <c r="S28" s="8">
        <f t="shared" si="5"/>
        <v>-2.7</v>
      </c>
      <c r="T28" s="8" t="s">
        <v>100</v>
      </c>
      <c r="U28" s="28">
        <f>-Sheet3!R19/Sheet3!Q19 -Sheet3!R19*Sheet3!F19/Sheet3!K19 +(Sheet1!B26+Sheet1!C26+Sheet1!D26)*12/Sheet3!K19</f>
        <v>-0.51858439328516037</v>
      </c>
      <c r="V28" s="8">
        <f>(Sheet1!E26+Sheet1!F26+0.8*Sheet1!G26)*12/Sheet3!N19</f>
        <v>0.95500374198529703</v>
      </c>
      <c r="W28" s="8">
        <f t="shared" si="3"/>
        <v>0.43641934870013666</v>
      </c>
      <c r="X28" s="8">
        <f t="shared" ref="X28:X29" si="7">X27</f>
        <v>0.46540305112880381</v>
      </c>
      <c r="Y28" s="24" t="s">
        <v>100</v>
      </c>
    </row>
    <row r="29" spans="1:25">
      <c r="A29" s="12" t="s">
        <v>16</v>
      </c>
      <c r="B29" s="21">
        <f>-Sheet3!R20/Sheet3!Q20 +Sheet3!R20*Sheet3!F20/Sheet3!J20 -(Sheet1!B27+Sheet1!C27+Sheet1!D27)*12/Sheet3!J20</f>
        <v>-0.64651321093669512</v>
      </c>
      <c r="C29" s="25">
        <f>-(Sheet1!E27+Sheet1!F27+Sheet1!G27)*12/Sheet3!M20</f>
        <v>-0.48896863971070098</v>
      </c>
      <c r="D29" s="25">
        <f t="shared" si="0"/>
        <v>-1.135481850647396</v>
      </c>
      <c r="E29" s="25">
        <f t="shared" si="4"/>
        <v>-2.7</v>
      </c>
      <c r="F29" s="22" t="s">
        <v>100</v>
      </c>
      <c r="G29" s="21">
        <f>-Sheet3!R20/Sheet3!Q20 -Sheet3!R20*Sheet3!F20/Sheet3!K20 +(Sheet1!B27+Sheet1!C27+Sheet1!D27)*12/Sheet3!K20</f>
        <v>-0.5090917441099152</v>
      </c>
      <c r="H29" s="25">
        <f>(Sheet1!E27+Sheet1!F27+Sheet1!G27)*12/Sheet3!N20</f>
        <v>1.1553911014929643</v>
      </c>
      <c r="I29" s="25">
        <f t="shared" si="1"/>
        <v>0.64629935738304911</v>
      </c>
      <c r="J29" s="25">
        <f t="shared" si="6"/>
        <v>0.46540305112880381</v>
      </c>
      <c r="K29" s="22" t="s">
        <v>101</v>
      </c>
      <c r="O29" s="13" t="s">
        <v>16</v>
      </c>
      <c r="P29" s="21">
        <f>-Sheet3!R20/Sheet3!Q20 +Sheet3!R20*Sheet3!F20/Sheet3!J20 -(Sheet1!B27+Sheet1!C27+Sheet1!D27)*12/Sheet3!J20</f>
        <v>-0.64651321093669512</v>
      </c>
      <c r="Q29" s="25">
        <f>-(Sheet1!E27+Sheet1!F27+0.8*Sheet1!G27)*12/Sheet3!M20</f>
        <v>-0.41241220727537026</v>
      </c>
      <c r="R29" s="25">
        <f t="shared" si="2"/>
        <v>-1.0589254182120653</v>
      </c>
      <c r="S29" s="25">
        <f t="shared" si="5"/>
        <v>-2.7</v>
      </c>
      <c r="T29" s="25" t="s">
        <v>100</v>
      </c>
      <c r="U29" s="21">
        <f>-Sheet3!R20/Sheet3!Q20 -Sheet3!R20*Sheet3!F20/Sheet3!K20 +(Sheet1!B27+Sheet1!C27+Sheet1!D27)*12/Sheet3!K20</f>
        <v>-0.5090917441099152</v>
      </c>
      <c r="V29" s="25">
        <f>(Sheet1!E27+Sheet1!F27+0.8*Sheet1!G27)*12/Sheet3!N20</f>
        <v>0.9744947952387194</v>
      </c>
      <c r="W29" s="25">
        <f t="shared" si="3"/>
        <v>0.4654030511288042</v>
      </c>
      <c r="X29" s="25">
        <f t="shared" si="7"/>
        <v>0.46540305112880381</v>
      </c>
      <c r="Y29" s="22" t="s">
        <v>100</v>
      </c>
    </row>
    <row r="32" spans="1:25">
      <c r="F32" s="56" t="s">
        <v>88</v>
      </c>
      <c r="G32" s="56"/>
      <c r="T32" s="56" t="s">
        <v>109</v>
      </c>
      <c r="U32" s="56"/>
    </row>
    <row r="33" spans="1:25">
      <c r="A33" s="7" t="s">
        <v>29</v>
      </c>
      <c r="B33" s="33" t="s">
        <v>102</v>
      </c>
      <c r="C33" s="33"/>
      <c r="D33" s="33"/>
      <c r="E33" s="33"/>
      <c r="F33" s="33"/>
      <c r="G33" s="33"/>
      <c r="H33" s="33"/>
      <c r="I33" s="33"/>
      <c r="J33" s="33"/>
      <c r="K33" s="33"/>
      <c r="O33" s="7" t="s">
        <v>30</v>
      </c>
      <c r="P33" s="33" t="s">
        <v>102</v>
      </c>
      <c r="Q33" s="33"/>
      <c r="R33" s="33"/>
      <c r="S33" s="33"/>
      <c r="T33" s="33"/>
      <c r="U33" s="33"/>
      <c r="V33" s="33"/>
      <c r="W33" s="33"/>
      <c r="X33" s="33"/>
      <c r="Y33" s="33"/>
    </row>
    <row r="34" spans="1:25">
      <c r="A34" s="57" t="s">
        <v>110</v>
      </c>
      <c r="B34" s="33" t="s">
        <v>103</v>
      </c>
      <c r="C34" s="33"/>
      <c r="D34" s="33"/>
      <c r="E34" s="33"/>
      <c r="F34" s="33"/>
      <c r="G34" s="33" t="s">
        <v>104</v>
      </c>
      <c r="H34" s="33"/>
      <c r="I34" s="33"/>
      <c r="J34" s="33"/>
      <c r="K34" s="33"/>
      <c r="O34" s="7" t="s">
        <v>110</v>
      </c>
      <c r="P34" s="33" t="s">
        <v>103</v>
      </c>
      <c r="Q34" s="33"/>
      <c r="R34" s="33"/>
      <c r="S34" s="33"/>
      <c r="T34" s="33"/>
      <c r="U34" s="33" t="s">
        <v>104</v>
      </c>
      <c r="V34" s="33"/>
      <c r="W34" s="33"/>
      <c r="X34" s="33"/>
      <c r="Y34" s="33"/>
    </row>
    <row r="35" spans="1:25">
      <c r="A35" s="46" t="s">
        <v>82</v>
      </c>
      <c r="B35" s="46" t="s">
        <v>83</v>
      </c>
      <c r="C35" s="46" t="s">
        <v>27</v>
      </c>
      <c r="D35" s="46" t="s">
        <v>84</v>
      </c>
      <c r="E35" s="46" t="s">
        <v>85</v>
      </c>
      <c r="F35" s="46" t="s">
        <v>86</v>
      </c>
      <c r="G35" s="46" t="s">
        <v>83</v>
      </c>
      <c r="H35" s="46" t="s">
        <v>27</v>
      </c>
      <c r="I35" s="46" t="s">
        <v>84</v>
      </c>
      <c r="J35" s="46" t="s">
        <v>85</v>
      </c>
      <c r="K35" s="46" t="s">
        <v>86</v>
      </c>
      <c r="O35" s="46" t="s">
        <v>82</v>
      </c>
      <c r="P35" s="46" t="s">
        <v>83</v>
      </c>
      <c r="Q35" s="46" t="s">
        <v>27</v>
      </c>
      <c r="R35" s="46" t="s">
        <v>84</v>
      </c>
      <c r="S35" s="46" t="s">
        <v>85</v>
      </c>
      <c r="T35" s="46" t="s">
        <v>86</v>
      </c>
      <c r="U35" s="46" t="s">
        <v>83</v>
      </c>
      <c r="V35" s="46" t="s">
        <v>27</v>
      </c>
      <c r="W35" s="46" t="s">
        <v>84</v>
      </c>
      <c r="X35" s="46" t="s">
        <v>85</v>
      </c>
      <c r="Y35" s="46" t="s">
        <v>86</v>
      </c>
    </row>
    <row r="36" spans="1: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</row>
    <row r="37" spans="1: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>
      <c r="A38" s="46"/>
      <c r="B38" s="30" t="s">
        <v>47</v>
      </c>
      <c r="C38" s="30" t="s">
        <v>47</v>
      </c>
      <c r="D38" s="30" t="s">
        <v>47</v>
      </c>
      <c r="E38" s="30" t="s">
        <v>47</v>
      </c>
      <c r="F38" s="30"/>
      <c r="G38" s="30" t="s">
        <v>47</v>
      </c>
      <c r="H38" s="30" t="s">
        <v>47</v>
      </c>
      <c r="I38" s="30" t="s">
        <v>47</v>
      </c>
      <c r="J38" s="30" t="s">
        <v>47</v>
      </c>
      <c r="K38" s="30"/>
      <c r="O38" s="46"/>
      <c r="P38" s="30" t="s">
        <v>47</v>
      </c>
      <c r="Q38" s="30" t="s">
        <v>47</v>
      </c>
      <c r="R38" s="30" t="s">
        <v>47</v>
      </c>
      <c r="S38" s="30" t="s">
        <v>47</v>
      </c>
      <c r="T38" s="30"/>
      <c r="U38" s="30" t="s">
        <v>47</v>
      </c>
      <c r="V38" s="30" t="s">
        <v>47</v>
      </c>
      <c r="W38" s="30" t="s">
        <v>47</v>
      </c>
      <c r="X38" s="30" t="s">
        <v>47</v>
      </c>
      <c r="Y38" s="30"/>
    </row>
    <row r="39" spans="1:25">
      <c r="A39" s="29">
        <v>0</v>
      </c>
      <c r="B39" s="19">
        <v>0</v>
      </c>
      <c r="C39" s="23">
        <f>-(Sheet1!E22+Sheet1!F22+Sheet1!G22)*12/(Sheet3!L15*Sheet3!S15)</f>
        <v>0</v>
      </c>
      <c r="D39" s="23">
        <f>B39+C39</f>
        <v>0</v>
      </c>
      <c r="E39" s="23">
        <f>C8</f>
        <v>-1.8</v>
      </c>
      <c r="F39" s="23" t="s">
        <v>100</v>
      </c>
      <c r="G39" s="19">
        <v>0</v>
      </c>
      <c r="H39" s="23">
        <f>C24/Sheet3!S15</f>
        <v>0</v>
      </c>
      <c r="I39" s="23">
        <f>G39+H39</f>
        <v>0</v>
      </c>
      <c r="J39" s="23">
        <f>C8</f>
        <v>-1.8</v>
      </c>
      <c r="K39" s="20" t="s">
        <v>100</v>
      </c>
      <c r="O39" s="29">
        <v>0</v>
      </c>
      <c r="P39" s="19">
        <v>0</v>
      </c>
      <c r="Q39" s="23">
        <f>-(Sheet1!E22+Sheet1!F22+0.8*Sheet1!G22)*12/(Sheet3!L15*Sheet3!S15)</f>
        <v>0</v>
      </c>
      <c r="R39" s="23">
        <f>P39+Q39</f>
        <v>0</v>
      </c>
      <c r="S39" s="23">
        <f>C8</f>
        <v>-1.8</v>
      </c>
      <c r="T39" s="20" t="s">
        <v>100</v>
      </c>
      <c r="U39" s="23">
        <v>0</v>
      </c>
      <c r="V39" s="23">
        <f>Q24/Sheet3!S15</f>
        <v>0</v>
      </c>
      <c r="W39" s="23">
        <f>U39+V39</f>
        <v>0</v>
      </c>
      <c r="X39" s="23">
        <f>C8</f>
        <v>-1.8</v>
      </c>
      <c r="Y39" s="20" t="s">
        <v>100</v>
      </c>
    </row>
    <row r="40" spans="1:25">
      <c r="A40" s="13" t="s">
        <v>12</v>
      </c>
      <c r="B40" s="28">
        <v>0</v>
      </c>
      <c r="C40" s="8">
        <f>-(Sheet1!E23+Sheet1!F23+Sheet1!G23)*12/(Sheet3!L16*Sheet3!S16)</f>
        <v>-0.20531496873620467</v>
      </c>
      <c r="D40" s="8">
        <f t="shared" ref="D40:D44" si="8">B40+C40</f>
        <v>-0.20531496873620467</v>
      </c>
      <c r="E40" s="8">
        <f>E39</f>
        <v>-1.8</v>
      </c>
      <c r="F40" s="8" t="s">
        <v>100</v>
      </c>
      <c r="G40" s="28">
        <v>0</v>
      </c>
      <c r="H40" s="8">
        <f>C25/Sheet3!S16</f>
        <v>-0.15205096785341202</v>
      </c>
      <c r="I40" s="8">
        <f t="shared" ref="I40:I44" si="9">G40+H40</f>
        <v>-0.15205096785341202</v>
      </c>
      <c r="J40" s="8">
        <f>J39</f>
        <v>-1.8</v>
      </c>
      <c r="K40" s="24" t="s">
        <v>100</v>
      </c>
      <c r="O40" s="13" t="s">
        <v>12</v>
      </c>
      <c r="P40" s="28">
        <v>0</v>
      </c>
      <c r="Q40" s="8">
        <f>-(Sheet1!E23+Sheet1!F23+0.8*Sheet1!G23)*12/(Sheet3!L16*Sheet3!S16)</f>
        <v>-0.17266816193339368</v>
      </c>
      <c r="R40" s="8">
        <f t="shared" ref="R40:R44" si="10">P40+Q40</f>
        <v>-0.17266816193339368</v>
      </c>
      <c r="S40" s="8">
        <f>S39</f>
        <v>-1.8</v>
      </c>
      <c r="T40" s="24" t="s">
        <v>100</v>
      </c>
      <c r="U40" s="8">
        <v>0</v>
      </c>
      <c r="V40" s="8">
        <f>Q25/Sheet3!S16</f>
        <v>-0.12787358516063504</v>
      </c>
      <c r="W40" s="8">
        <f t="shared" ref="W40:W44" si="11">U40+V40</f>
        <v>-0.12787358516063504</v>
      </c>
      <c r="X40" s="8">
        <f>X39</f>
        <v>-1.8</v>
      </c>
      <c r="Y40" s="24" t="s">
        <v>100</v>
      </c>
    </row>
    <row r="41" spans="1:25">
      <c r="A41" s="13" t="s">
        <v>13</v>
      </c>
      <c r="B41" s="28">
        <v>0</v>
      </c>
      <c r="C41" s="8">
        <v>2</v>
      </c>
      <c r="D41" s="8">
        <f t="shared" si="8"/>
        <v>2</v>
      </c>
      <c r="E41" s="8">
        <f t="shared" ref="E41:E44" si="12">E40</f>
        <v>-1.8</v>
      </c>
      <c r="F41" s="8" t="s">
        <v>100</v>
      </c>
      <c r="G41" s="28">
        <v>0</v>
      </c>
      <c r="H41" s="8">
        <f>C26/Sheet3!S17</f>
        <v>-0.26811218607412834</v>
      </c>
      <c r="I41" s="8">
        <f t="shared" si="9"/>
        <v>-0.26811218607412834</v>
      </c>
      <c r="J41" s="8">
        <f t="shared" ref="J41:J44" si="13">J40</f>
        <v>-1.8</v>
      </c>
      <c r="K41" s="24" t="s">
        <v>100</v>
      </c>
      <c r="O41" s="13" t="s">
        <v>13</v>
      </c>
      <c r="P41" s="28">
        <v>0</v>
      </c>
      <c r="Q41" s="8">
        <f>-(Sheet1!E24+Sheet1!F24+0.8*Sheet1!G24)*12/(Sheet3!L17*Sheet3!S17)</f>
        <v>-0.30462354474379644</v>
      </c>
      <c r="R41" s="8">
        <f t="shared" si="10"/>
        <v>-0.30462354474379644</v>
      </c>
      <c r="S41" s="8">
        <f t="shared" ref="S41:S44" si="14">S40</f>
        <v>-1.8</v>
      </c>
      <c r="T41" s="24" t="s">
        <v>100</v>
      </c>
      <c r="U41" s="8">
        <v>0</v>
      </c>
      <c r="V41" s="8">
        <f>Q26/Sheet3!S17</f>
        <v>-0.22559633666429205</v>
      </c>
      <c r="W41" s="8">
        <f t="shared" si="11"/>
        <v>-0.22559633666429205</v>
      </c>
      <c r="X41" s="8">
        <f t="shared" ref="X41:X44" si="15">X40</f>
        <v>-1.8</v>
      </c>
      <c r="Y41" s="24" t="s">
        <v>100</v>
      </c>
    </row>
    <row r="42" spans="1:25">
      <c r="A42" s="13" t="s">
        <v>14</v>
      </c>
      <c r="B42" s="28">
        <v>0</v>
      </c>
      <c r="C42" s="8">
        <v>2</v>
      </c>
      <c r="D42" s="8">
        <f t="shared" si="8"/>
        <v>2</v>
      </c>
      <c r="E42" s="8">
        <f t="shared" si="12"/>
        <v>-1.8</v>
      </c>
      <c r="F42" s="8" t="s">
        <v>100</v>
      </c>
      <c r="G42" s="28">
        <v>0</v>
      </c>
      <c r="H42" s="8">
        <f>C27/Sheet3!S18</f>
        <v>-0.34796105427365231</v>
      </c>
      <c r="I42" s="8">
        <f t="shared" si="9"/>
        <v>-0.34796105427365231</v>
      </c>
      <c r="J42" s="8">
        <f t="shared" si="13"/>
        <v>-1.8</v>
      </c>
      <c r="K42" s="24" t="s">
        <v>100</v>
      </c>
      <c r="O42" s="13" t="s">
        <v>14</v>
      </c>
      <c r="P42" s="28">
        <v>0</v>
      </c>
      <c r="Q42" s="8">
        <f>-(Sheet1!E25+Sheet1!F25+0.8*Sheet1!G25)*12/(Sheet3!L18*Sheet3!S18)</f>
        <v>-0.39556240634599577</v>
      </c>
      <c r="R42" s="8">
        <f t="shared" si="10"/>
        <v>-0.39556240634599577</v>
      </c>
      <c r="S42" s="8">
        <f t="shared" si="14"/>
        <v>-1.8</v>
      </c>
      <c r="T42" s="24" t="s">
        <v>100</v>
      </c>
      <c r="U42" s="8">
        <v>0</v>
      </c>
      <c r="V42" s="8">
        <f>Q27/Sheet3!S18</f>
        <v>-0.29294331096049014</v>
      </c>
      <c r="W42" s="8">
        <f t="shared" si="11"/>
        <v>-0.29294331096049014</v>
      </c>
      <c r="X42" s="8">
        <f t="shared" si="15"/>
        <v>-1.8</v>
      </c>
      <c r="Y42" s="24" t="s">
        <v>100</v>
      </c>
    </row>
    <row r="43" spans="1:25">
      <c r="A43" s="13" t="s">
        <v>15</v>
      </c>
      <c r="B43" s="28">
        <v>0</v>
      </c>
      <c r="C43" s="8">
        <v>42</v>
      </c>
      <c r="D43" s="8">
        <f t="shared" si="8"/>
        <v>42</v>
      </c>
      <c r="E43" s="8">
        <f t="shared" si="12"/>
        <v>-1.8</v>
      </c>
      <c r="F43" s="8" t="s">
        <v>100</v>
      </c>
      <c r="G43" s="28">
        <v>0</v>
      </c>
      <c r="H43" s="8">
        <f>C28/Sheet3!S19</f>
        <v>-0.39166396204153558</v>
      </c>
      <c r="I43" s="8">
        <f t="shared" si="9"/>
        <v>-0.39166396204153558</v>
      </c>
      <c r="J43" s="8">
        <f t="shared" si="13"/>
        <v>-1.8</v>
      </c>
      <c r="K43" s="24" t="s">
        <v>100</v>
      </c>
      <c r="O43" s="13" t="s">
        <v>15</v>
      </c>
      <c r="P43" s="28">
        <v>0</v>
      </c>
      <c r="Q43" s="8">
        <f>-(Sheet1!E26+Sheet1!F26+0.8*Sheet1!G26)*12/(Sheet3!L19*Sheet3!S19)</f>
        <v>-0.44557755682158451</v>
      </c>
      <c r="R43" s="8">
        <f t="shared" si="10"/>
        <v>-0.44557755682158451</v>
      </c>
      <c r="S43" s="8">
        <f t="shared" si="14"/>
        <v>-1.8</v>
      </c>
      <c r="T43" s="24" t="s">
        <v>100</v>
      </c>
      <c r="U43" s="8">
        <v>0</v>
      </c>
      <c r="V43" s="8">
        <f>Q28/Sheet3!S19</f>
        <v>-0.32998324080076535</v>
      </c>
      <c r="W43" s="8">
        <f t="shared" si="11"/>
        <v>-0.32998324080076535</v>
      </c>
      <c r="X43" s="8">
        <f t="shared" si="15"/>
        <v>-1.8</v>
      </c>
      <c r="Y43" s="24" t="s">
        <v>100</v>
      </c>
    </row>
    <row r="44" spans="1:25">
      <c r="A44" s="13" t="s">
        <v>16</v>
      </c>
      <c r="B44" s="21">
        <v>0</v>
      </c>
      <c r="C44" s="25">
        <f>-(Sheet1!E27+Sheet1!F27+Sheet1!G27)*12/(Sheet3!L20*Sheet3!S20)</f>
        <v>-0.53907259369101024</v>
      </c>
      <c r="D44" s="25">
        <f t="shared" si="8"/>
        <v>-0.53907259369101024</v>
      </c>
      <c r="E44" s="25">
        <f t="shared" si="12"/>
        <v>-1.8</v>
      </c>
      <c r="F44" s="25" t="s">
        <v>100</v>
      </c>
      <c r="G44" s="21">
        <v>0</v>
      </c>
      <c r="H44" s="25">
        <f>C29/Sheet3!S20</f>
        <v>-0.39922325253976237</v>
      </c>
      <c r="I44" s="25">
        <f t="shared" si="9"/>
        <v>-0.39922325253976237</v>
      </c>
      <c r="J44" s="25">
        <f t="shared" si="13"/>
        <v>-1.8</v>
      </c>
      <c r="K44" s="22" t="s">
        <v>100</v>
      </c>
      <c r="O44" s="13" t="s">
        <v>16</v>
      </c>
      <c r="P44" s="21">
        <v>0</v>
      </c>
      <c r="Q44" s="25">
        <f>-(Sheet1!E27+Sheet1!F27+0.8*Sheet1!G27)*12/(Sheet3!L20*Sheet3!S20)</f>
        <v>-0.45467152735460581</v>
      </c>
      <c r="R44" s="25">
        <f t="shared" si="10"/>
        <v>-0.45467152735460581</v>
      </c>
      <c r="S44" s="25">
        <f t="shared" si="14"/>
        <v>-1.8</v>
      </c>
      <c r="T44" s="22" t="s">
        <v>100</v>
      </c>
      <c r="U44" s="25">
        <v>0</v>
      </c>
      <c r="V44" s="25">
        <f>Q29/Sheet3!S20</f>
        <v>-0.33671800071470465</v>
      </c>
      <c r="W44" s="25">
        <f t="shared" si="11"/>
        <v>-0.33671800071470465</v>
      </c>
      <c r="X44" s="25">
        <f t="shared" si="15"/>
        <v>-1.8</v>
      </c>
      <c r="Y44" s="22" t="s">
        <v>100</v>
      </c>
    </row>
    <row r="50" spans="1:25">
      <c r="F50" s="56" t="s">
        <v>107</v>
      </c>
      <c r="G50" s="56"/>
      <c r="T50" s="56" t="s">
        <v>108</v>
      </c>
      <c r="U50" s="56"/>
    </row>
    <row r="51" spans="1:25">
      <c r="A51" s="7" t="s">
        <v>112</v>
      </c>
      <c r="B51" s="33" t="s">
        <v>87</v>
      </c>
      <c r="C51" s="33"/>
      <c r="D51" s="33"/>
      <c r="E51" s="33"/>
      <c r="F51" s="33"/>
      <c r="G51" s="33"/>
      <c r="H51" s="33"/>
      <c r="I51" s="33"/>
      <c r="J51" s="33"/>
      <c r="K51" s="33"/>
      <c r="O51" s="7" t="s">
        <v>111</v>
      </c>
      <c r="P51" s="33" t="s">
        <v>87</v>
      </c>
      <c r="Q51" s="33"/>
      <c r="R51" s="33"/>
      <c r="S51" s="33"/>
      <c r="T51" s="33"/>
      <c r="U51" s="33"/>
      <c r="V51" s="33"/>
      <c r="W51" s="33"/>
      <c r="X51" s="33"/>
      <c r="Y51" s="33"/>
    </row>
    <row r="52" spans="1:25">
      <c r="A52" s="7" t="s">
        <v>81</v>
      </c>
      <c r="B52" s="33" t="s">
        <v>64</v>
      </c>
      <c r="C52" s="33"/>
      <c r="D52" s="33"/>
      <c r="E52" s="33"/>
      <c r="F52" s="33"/>
      <c r="G52" s="33" t="s">
        <v>65</v>
      </c>
      <c r="H52" s="33"/>
      <c r="I52" s="33"/>
      <c r="J52" s="33"/>
      <c r="K52" s="33"/>
      <c r="O52" s="7" t="s">
        <v>81</v>
      </c>
      <c r="P52" s="33" t="s">
        <v>64</v>
      </c>
      <c r="Q52" s="33"/>
      <c r="R52" s="33"/>
      <c r="S52" s="33"/>
      <c r="T52" s="33"/>
      <c r="U52" s="33" t="s">
        <v>65</v>
      </c>
      <c r="V52" s="33"/>
      <c r="W52" s="33"/>
      <c r="X52" s="33"/>
      <c r="Y52" s="33"/>
    </row>
    <row r="53" spans="1:25">
      <c r="A53" s="46" t="s">
        <v>82</v>
      </c>
      <c r="B53" s="46" t="s">
        <v>83</v>
      </c>
      <c r="C53" s="46" t="s">
        <v>27</v>
      </c>
      <c r="D53" s="46" t="s">
        <v>84</v>
      </c>
      <c r="E53" s="46" t="s">
        <v>85</v>
      </c>
      <c r="F53" s="46" t="s">
        <v>86</v>
      </c>
      <c r="G53" s="46" t="s">
        <v>83</v>
      </c>
      <c r="H53" s="46" t="s">
        <v>27</v>
      </c>
      <c r="I53" s="46" t="s">
        <v>84</v>
      </c>
      <c r="J53" s="46" t="s">
        <v>85</v>
      </c>
      <c r="K53" s="46" t="s">
        <v>86</v>
      </c>
      <c r="O53" s="46" t="s">
        <v>82</v>
      </c>
      <c r="P53" s="46" t="s">
        <v>83</v>
      </c>
      <c r="Q53" s="46" t="s">
        <v>27</v>
      </c>
      <c r="R53" s="46" t="s">
        <v>84</v>
      </c>
      <c r="S53" s="46" t="s">
        <v>85</v>
      </c>
      <c r="T53" s="46" t="s">
        <v>86</v>
      </c>
      <c r="U53" s="46" t="s">
        <v>83</v>
      </c>
      <c r="V53" s="46" t="s">
        <v>27</v>
      </c>
      <c r="W53" s="46" t="s">
        <v>84</v>
      </c>
      <c r="X53" s="46" t="s">
        <v>85</v>
      </c>
      <c r="Y53" s="46" t="s">
        <v>86</v>
      </c>
    </row>
    <row r="54" spans="1: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</row>
    <row r="56" spans="1:25">
      <c r="A56" s="46"/>
      <c r="B56" s="30" t="s">
        <v>47</v>
      </c>
      <c r="C56" s="30" t="s">
        <v>47</v>
      </c>
      <c r="D56" s="30" t="s">
        <v>47</v>
      </c>
      <c r="E56" s="30" t="s">
        <v>47</v>
      </c>
      <c r="F56" s="30"/>
      <c r="G56" s="30" t="s">
        <v>47</v>
      </c>
      <c r="H56" s="30" t="s">
        <v>47</v>
      </c>
      <c r="I56" s="30" t="s">
        <v>47</v>
      </c>
      <c r="J56" s="30" t="s">
        <v>47</v>
      </c>
      <c r="K56" s="30"/>
      <c r="O56" s="46"/>
      <c r="P56" s="30" t="s">
        <v>47</v>
      </c>
      <c r="Q56" s="30" t="s">
        <v>47</v>
      </c>
      <c r="R56" s="30" t="s">
        <v>47</v>
      </c>
      <c r="S56" s="30" t="s">
        <v>47</v>
      </c>
      <c r="T56" s="30"/>
      <c r="U56" s="30" t="s">
        <v>47</v>
      </c>
      <c r="V56" s="30" t="s">
        <v>47</v>
      </c>
      <c r="W56" s="30" t="s">
        <v>47</v>
      </c>
      <c r="X56" s="30" t="s">
        <v>47</v>
      </c>
      <c r="Y56" s="30"/>
    </row>
    <row r="57" spans="1:25">
      <c r="A57" s="29">
        <v>0</v>
      </c>
      <c r="B57" s="19">
        <f>-Sheet3!R15/Sheet3!Q15 +Sheet3!R15*Sheet3!F15/Sheet3!J15 -(Sheet1!B22+Sheet1!C22+Sheet1!D22)*12/Sheet3!J15</f>
        <v>-0.57852775748711316</v>
      </c>
      <c r="C57" s="23">
        <f>-(Sheet1!E22+Sheet1!F22+1.3*Sheet1!G22)*12/Sheet3!M15</f>
        <v>0</v>
      </c>
      <c r="D57" s="23">
        <f>B57+C57</f>
        <v>-0.57852775748711316</v>
      </c>
      <c r="E57" s="23">
        <f>C9</f>
        <v>-2.7</v>
      </c>
      <c r="F57" s="20" t="s">
        <v>100</v>
      </c>
      <c r="G57" s="23">
        <f>-Sheet3!R15/Sheet3!Q15 -Sheet3!R15*Sheet3!F15/Sheet3!K15 +(Sheet1!B22+Sheet1!C22+Sheet1!D22)*12/Sheet3!K15</f>
        <v>-0.57852775748711316</v>
      </c>
      <c r="H57" s="23">
        <f>(Sheet1!E22+Sheet1!F22+1.3*Sheet1!G22)*12/Sheet3!N15</f>
        <v>0</v>
      </c>
      <c r="I57" s="23">
        <f>G57+H57</f>
        <v>-0.57852775748711316</v>
      </c>
      <c r="J57" s="23">
        <f>C9</f>
        <v>-2.7</v>
      </c>
      <c r="K57" s="20" t="s">
        <v>100</v>
      </c>
      <c r="O57" s="29">
        <v>0</v>
      </c>
      <c r="P57" s="19">
        <f>-Sheet3!R15/Sheet3!Q15 +Sheet3!R15*Sheet3!F15/Sheet3!J15 -(Sheet1!B22+Sheet1!C22+Sheet1!D22)*12/Sheet3!J15</f>
        <v>-0.57852775748711316</v>
      </c>
      <c r="Q57" s="23">
        <f>-(Sheet1!E22+Sheet1!F22)*12/Sheet3!M15</f>
        <v>0</v>
      </c>
      <c r="R57" s="23">
        <f>P57+Q57</f>
        <v>-0.57852775748711316</v>
      </c>
      <c r="S57" s="23">
        <f>C9</f>
        <v>-2.7</v>
      </c>
      <c r="T57" s="23" t="s">
        <v>100</v>
      </c>
      <c r="U57" s="19">
        <f>-Sheet3!R15/Sheet3!Q15 -Sheet3!R15*Sheet3!F15/Sheet3!K15 +(Sheet1!B22+Sheet1!C22+Sheet1!D22)*12/Sheet3!K15</f>
        <v>-0.57852775748711316</v>
      </c>
      <c r="V57" s="23">
        <f>(Sheet1!E22+Sheet1!F22)*12/Sheet3!N15</f>
        <v>0</v>
      </c>
      <c r="W57" s="23">
        <f>U57+V57</f>
        <v>-0.57852775748711316</v>
      </c>
      <c r="X57" s="23">
        <f>C9</f>
        <v>-2.7</v>
      </c>
      <c r="Y57" s="20" t="s">
        <v>100</v>
      </c>
    </row>
    <row r="58" spans="1:25">
      <c r="A58" s="13" t="s">
        <v>12</v>
      </c>
      <c r="B58" s="28">
        <f>-Sheet3!R16/Sheet3!Q16 +Sheet3!R16*Sheet3!F16/Sheet3!J16 -(Sheet1!B23+Sheet1!C23+Sheet1!D23)*12/Sheet3!J16</f>
        <v>-0.60651147834637387</v>
      </c>
      <c r="C58" s="8">
        <f>-(Sheet1!E23+Sheet1!F23+1.3*Sheet1!G23)*12/Sheet3!M16</f>
        <v>-0.23065071291002898</v>
      </c>
      <c r="D58" s="8">
        <f t="shared" ref="D58:D62" si="16">B58+C58</f>
        <v>-0.8371621912564029</v>
      </c>
      <c r="E58" s="8">
        <f>E57</f>
        <v>-2.7</v>
      </c>
      <c r="F58" s="24" t="s">
        <v>100</v>
      </c>
      <c r="G58" s="8">
        <f>-Sheet3!R16/Sheet3!Q16 -Sheet3!R16*Sheet3!F16/Sheet3!K16 +(Sheet1!B23+Sheet1!C23+Sheet1!D23)*12/Sheet3!K16</f>
        <v>-0.54994696678357857</v>
      </c>
      <c r="H58" s="8">
        <f>(Sheet1!E23+Sheet1!F23+1.3*Sheet1!G23)*12/Sheet3!N16</f>
        <v>0.54500791994947995</v>
      </c>
      <c r="I58" s="8">
        <f t="shared" ref="I58:I62" si="17">G58+H58</f>
        <v>-4.939046834098626E-3</v>
      </c>
      <c r="J58" s="8">
        <f>J57</f>
        <v>-2.7</v>
      </c>
      <c r="K58" s="24" t="s">
        <v>100</v>
      </c>
      <c r="O58" s="13" t="s">
        <v>12</v>
      </c>
      <c r="P58" s="28">
        <f>-Sheet3!R16/Sheet3!Q16 +Sheet3!R16*Sheet3!F16/Sheet3!J16 -(Sheet1!B23+Sheet1!C23+Sheet1!D23)*12/Sheet3!J16</f>
        <v>-0.60651147834637387</v>
      </c>
      <c r="Q58" s="8">
        <f>-(Sheet1!E23+Sheet1!F23)*12/Sheet3!M16</f>
        <v>-3.8169733816292732E-2</v>
      </c>
      <c r="R58" s="8">
        <f t="shared" ref="R58:R62" si="18">P58+Q58</f>
        <v>-0.64468121216266661</v>
      </c>
      <c r="S58" s="8">
        <f>S57</f>
        <v>-2.7</v>
      </c>
      <c r="T58" s="8" t="s">
        <v>100</v>
      </c>
      <c r="U58" s="28">
        <f>-Sheet3!R16/Sheet3!Q16 -Sheet3!R16*Sheet3!F16/Sheet3!K16 +(Sheet1!B23+Sheet1!C23+Sheet1!D23)*12/Sheet3!K16</f>
        <v>-0.54994696678357857</v>
      </c>
      <c r="V58" s="8">
        <f>(Sheet1!E23+Sheet1!F23)*12/Sheet3!N16</f>
        <v>9.0191818485112069E-2</v>
      </c>
      <c r="W58" s="8">
        <f t="shared" ref="W58:W62" si="19">U58+V58</f>
        <v>-0.45975514829846653</v>
      </c>
      <c r="X58" s="8">
        <f>X57</f>
        <v>-2.7</v>
      </c>
      <c r="Y58" s="24" t="s">
        <v>100</v>
      </c>
    </row>
    <row r="59" spans="1:25">
      <c r="A59" s="13" t="s">
        <v>13</v>
      </c>
      <c r="B59" s="28">
        <f>-Sheet3!R17/Sheet3!Q17 +Sheet3!R17*Sheet3!F17/Sheet3!J17 -(Sheet1!B24+Sheet1!C24+Sheet1!D24)*12/Sheet3!J17</f>
        <v>-0.62348399834122104</v>
      </c>
      <c r="C59" s="8">
        <f>-(Sheet1!E24+Sheet1!F24+1.3*Sheet1!G24)*12/Sheet3!M17</f>
        <v>-0.40649392403934376</v>
      </c>
      <c r="D59" s="8">
        <f t="shared" si="16"/>
        <v>-1.0299779223805647</v>
      </c>
      <c r="E59" s="8">
        <f t="shared" ref="E59:E62" si="20">E58</f>
        <v>-2.7</v>
      </c>
      <c r="F59" s="24" t="s">
        <v>100</v>
      </c>
      <c r="G59" s="8">
        <f>-Sheet3!R17/Sheet3!Q17 -Sheet3!R17*Sheet3!F17/Sheet3!K17 +(Sheet1!B24+Sheet1!C24+Sheet1!D24)*12/Sheet3!K17</f>
        <v>-0.53261231553673583</v>
      </c>
      <c r="H59" s="8">
        <f>(Sheet1!E24+Sheet1!F24+1.3*Sheet1!G24)*12/Sheet3!N17</f>
        <v>0.96051039781178893</v>
      </c>
      <c r="I59" s="8">
        <f t="shared" si="17"/>
        <v>0.4278980822750531</v>
      </c>
      <c r="J59" s="8">
        <f>E9</f>
        <v>0.46540305112880381</v>
      </c>
      <c r="K59" s="24" t="s">
        <v>100</v>
      </c>
      <c r="O59" s="13" t="s">
        <v>13</v>
      </c>
      <c r="P59" s="28">
        <f>-Sheet3!R17/Sheet3!Q17 +Sheet3!R17*Sheet3!F17/Sheet3!J17 -(Sheet1!B24+Sheet1!C24+Sheet1!D24)*12/Sheet3!J17</f>
        <v>-0.62348399834122104</v>
      </c>
      <c r="Q59" s="8">
        <f>-(Sheet1!E24+Sheet1!F24)*12/Sheet3!M17</f>
        <v>-6.8016743717754721E-2</v>
      </c>
      <c r="R59" s="8">
        <f t="shared" si="18"/>
        <v>-0.69150074205897571</v>
      </c>
      <c r="S59" s="8">
        <f t="shared" ref="S59:S62" si="21">S58</f>
        <v>-2.7</v>
      </c>
      <c r="T59" s="8" t="s">
        <v>100</v>
      </c>
      <c r="U59" s="28">
        <f>-Sheet3!R17/Sheet3!Q17 -Sheet3!R17*Sheet3!F17/Sheet3!K17 +(Sheet1!B24+Sheet1!C24+Sheet1!D24)*12/Sheet3!K17</f>
        <v>-0.53261231553673583</v>
      </c>
      <c r="V59" s="8">
        <f>(Sheet1!E24+Sheet1!F24)*12/Sheet3!N17</f>
        <v>0.16071775173662828</v>
      </c>
      <c r="W59" s="8">
        <f t="shared" si="19"/>
        <v>-0.37189456380010755</v>
      </c>
      <c r="X59" s="8">
        <f>X58</f>
        <v>-2.7</v>
      </c>
      <c r="Y59" s="24" t="s">
        <v>100</v>
      </c>
    </row>
    <row r="60" spans="1:25">
      <c r="A60" s="13" t="s">
        <v>14</v>
      </c>
      <c r="B60" s="28">
        <f>-Sheet3!R18/Sheet3!Q18 +Sheet3!R18*Sheet3!F18/Sheet3!J18 -(Sheet1!B25+Sheet1!C25+Sheet1!D25)*12/Sheet3!J18</f>
        <v>-0.63352550074771419</v>
      </c>
      <c r="C60" s="8">
        <f>-(Sheet1!E25+Sheet1!F25+1.3*Sheet1!G25)*12/Sheet3!M18</f>
        <v>-0.52726129728931093</v>
      </c>
      <c r="D60" s="8">
        <f t="shared" si="16"/>
        <v>-1.1607867980370252</v>
      </c>
      <c r="E60" s="8">
        <f t="shared" si="20"/>
        <v>-2.7</v>
      </c>
      <c r="F60" s="24" t="s">
        <v>100</v>
      </c>
      <c r="G60" s="8">
        <f>-Sheet3!R18/Sheet3!Q18 -Sheet3!R18*Sheet3!F18/Sheet3!K18 +(Sheet1!B25+Sheet1!C25+Sheet1!D25)*12/Sheet3!K18</f>
        <v>-0.5223565643422321</v>
      </c>
      <c r="H60" s="8">
        <f>(Sheet1!E25+Sheet1!F25+1.3*Sheet1!G25)*12/Sheet3!N18</f>
        <v>1.2458733783216367</v>
      </c>
      <c r="I60" s="8">
        <f t="shared" si="17"/>
        <v>0.72351681397940459</v>
      </c>
      <c r="J60" s="8">
        <f>J59</f>
        <v>0.46540305112880381</v>
      </c>
      <c r="K60" s="24" t="s">
        <v>101</v>
      </c>
      <c r="O60" s="13" t="s">
        <v>14</v>
      </c>
      <c r="P60" s="28">
        <f>-Sheet3!R18/Sheet3!Q18 +Sheet3!R18*Sheet3!F18/Sheet3!J18 -(Sheet1!B25+Sheet1!C25+Sheet1!D25)*12/Sheet3!J18</f>
        <v>-0.63352550074771419</v>
      </c>
      <c r="Q60" s="8">
        <f>-(Sheet1!E25+Sheet1!F25)*12/Sheet3!M18</f>
        <v>-8.9254039224564208E-2</v>
      </c>
      <c r="R60" s="8">
        <f t="shared" si="18"/>
        <v>-0.7227795399722784</v>
      </c>
      <c r="S60" s="8">
        <f t="shared" si="21"/>
        <v>-2.7</v>
      </c>
      <c r="T60" s="8" t="s">
        <v>100</v>
      </c>
      <c r="U60" s="28">
        <f>-Sheet3!R18/Sheet3!Q18 -Sheet3!R18*Sheet3!F18/Sheet3!K18 +(Sheet1!B25+Sheet1!C25+Sheet1!D25)*12/Sheet3!K18</f>
        <v>-0.5223565643422321</v>
      </c>
      <c r="V60" s="8">
        <f>(Sheet1!E25+Sheet1!F25)*12/Sheet3!N18</f>
        <v>0.21089966578097633</v>
      </c>
      <c r="W60" s="8">
        <f t="shared" si="19"/>
        <v>-0.3114568985612558</v>
      </c>
      <c r="X60" s="8">
        <f>X59</f>
        <v>-2.7</v>
      </c>
      <c r="Y60" s="24" t="s">
        <v>100</v>
      </c>
    </row>
    <row r="61" spans="1:25">
      <c r="A61" s="13" t="s">
        <v>15</v>
      </c>
      <c r="B61" s="28">
        <f>-Sheet3!R19/Sheet3!Q19 +Sheet3!R19*Sheet3!F19/Sheet3!J19 -(Sheet1!B26+Sheet1!C26+Sheet1!D26)*12/Sheet3!J19</f>
        <v>-0.63721886889100432</v>
      </c>
      <c r="C61" s="8">
        <f>-(Sheet1!E26+Sheet1!F26+1.3*Sheet1!G26)*12/Sheet3!M19</f>
        <v>-0.59302984177201623</v>
      </c>
      <c r="D61" s="8">
        <f t="shared" si="16"/>
        <v>-1.2302487106630204</v>
      </c>
      <c r="E61" s="8">
        <f t="shared" si="20"/>
        <v>-2.7</v>
      </c>
      <c r="F61" s="24" t="s">
        <v>100</v>
      </c>
      <c r="G61" s="8">
        <f>-Sheet3!R19/Sheet3!Q19 -Sheet3!R19*Sheet3!F19/Sheet3!K19 +(Sheet1!B26+Sheet1!C26+Sheet1!D26)*12/Sheet3!K19</f>
        <v>-0.51858439328516037</v>
      </c>
      <c r="H61" s="8">
        <f>(Sheet1!E26+Sheet1!F26+1.3*Sheet1!G26)*12/Sheet3!N19</f>
        <v>1.4012788274285988</v>
      </c>
      <c r="I61" s="8">
        <f t="shared" si="17"/>
        <v>0.8826944341434384</v>
      </c>
      <c r="J61" s="8">
        <f t="shared" ref="J61:J62" si="22">J60</f>
        <v>0.46540305112880381</v>
      </c>
      <c r="K61" s="24" t="s">
        <v>101</v>
      </c>
      <c r="O61" s="13" t="s">
        <v>15</v>
      </c>
      <c r="P61" s="28">
        <f>-Sheet3!R19/Sheet3!Q19 +Sheet3!R19*Sheet3!F19/Sheet3!J19 -(Sheet1!B26+Sheet1!C26+Sheet1!D26)*12/Sheet3!J19</f>
        <v>-0.63721886889100432</v>
      </c>
      <c r="Q61" s="8">
        <f>-(Sheet1!E26+Sheet1!F26)*12/Sheet3!M19</f>
        <v>-0.10197728382999512</v>
      </c>
      <c r="R61" s="8">
        <f t="shared" si="18"/>
        <v>-0.73919615272099948</v>
      </c>
      <c r="S61" s="8">
        <f t="shared" si="21"/>
        <v>-2.7</v>
      </c>
      <c r="T61" s="8" t="s">
        <v>100</v>
      </c>
      <c r="U61" s="28">
        <f>-Sheet3!R19/Sheet3!Q19 -Sheet3!R19*Sheet3!F19/Sheet3!K19 +(Sheet1!B26+Sheet1!C26+Sheet1!D26)*12/Sheet3!K19</f>
        <v>-0.51858439328516037</v>
      </c>
      <c r="V61" s="8">
        <f>(Sheet1!E26+Sheet1!F26)*12/Sheet3!N19</f>
        <v>0.24096360527601368</v>
      </c>
      <c r="W61" s="8">
        <f t="shared" si="19"/>
        <v>-0.27762078800914669</v>
      </c>
      <c r="X61" s="8">
        <f t="shared" ref="X61:X62" si="23">X60</f>
        <v>-2.7</v>
      </c>
      <c r="Y61" s="24" t="s">
        <v>100</v>
      </c>
    </row>
    <row r="62" spans="1:25">
      <c r="A62" s="13" t="s">
        <v>16</v>
      </c>
      <c r="B62" s="21">
        <f>-Sheet3!R20/Sheet3!Q20 +Sheet3!R20*Sheet3!F20/Sheet3!J20 -(Sheet1!B27+Sheet1!C27+Sheet1!D27)*12/Sheet3!J20</f>
        <v>-0.64651321093669512</v>
      </c>
      <c r="C62" s="25">
        <f>-(Sheet1!E27+Sheet1!F27+1.3*Sheet1!G27)*12/Sheet3!M20</f>
        <v>-0.60380328836369712</v>
      </c>
      <c r="D62" s="25">
        <f t="shared" si="16"/>
        <v>-1.2503164993003923</v>
      </c>
      <c r="E62" s="25">
        <f t="shared" si="20"/>
        <v>-2.7</v>
      </c>
      <c r="F62" s="22" t="s">
        <v>100</v>
      </c>
      <c r="G62" s="25">
        <f>-Sheet3!R20/Sheet3!Q20 -Sheet3!R20*Sheet3!F20/Sheet3!K20 +(Sheet1!B27+Sheet1!C27+Sheet1!D27)*12/Sheet3!K20</f>
        <v>-0.5090917441099152</v>
      </c>
      <c r="H62" s="25">
        <f>(Sheet1!E27+Sheet1!F27+1.3*Sheet1!G27)*12/Sheet3!N20</f>
        <v>1.4267355608743315</v>
      </c>
      <c r="I62" s="25">
        <f t="shared" si="17"/>
        <v>0.91764381676441631</v>
      </c>
      <c r="J62" s="25">
        <f t="shared" si="22"/>
        <v>0.46540305112880381</v>
      </c>
      <c r="K62" s="22" t="s">
        <v>101</v>
      </c>
      <c r="O62" s="13" t="s">
        <v>16</v>
      </c>
      <c r="P62" s="21">
        <f>-Sheet3!R20/Sheet3!Q20 +Sheet3!R20*Sheet3!F20/Sheet3!J20 -(Sheet1!B27+Sheet1!C27+Sheet1!D27)*12/Sheet3!J20</f>
        <v>-0.64651321093669512</v>
      </c>
      <c r="Q62" s="25">
        <f>-(Sheet1!E27+Sheet1!F27)*12/Sheet3!M20</f>
        <v>-0.10618647753404745</v>
      </c>
      <c r="R62" s="25">
        <f t="shared" si="18"/>
        <v>-0.75269968847074253</v>
      </c>
      <c r="S62" s="25">
        <f t="shared" si="21"/>
        <v>-2.7</v>
      </c>
      <c r="T62" s="25" t="s">
        <v>100</v>
      </c>
      <c r="U62" s="21">
        <f>-Sheet3!R20/Sheet3!Q20 -Sheet3!R20*Sheet3!F20/Sheet3!K20 +(Sheet1!B27+Sheet1!C27+Sheet1!D27)*12/Sheet3!K20</f>
        <v>-0.5090917441099152</v>
      </c>
      <c r="V62" s="25">
        <f>(Sheet1!E27+Sheet1!F27)*12/Sheet3!N20</f>
        <v>0.25090957022174032</v>
      </c>
      <c r="W62" s="25">
        <f t="shared" si="19"/>
        <v>-0.25818217388817488</v>
      </c>
      <c r="X62" s="25">
        <f t="shared" si="23"/>
        <v>-2.7</v>
      </c>
      <c r="Y62" s="22" t="s">
        <v>100</v>
      </c>
    </row>
    <row r="65" spans="1:25">
      <c r="F65" s="56" t="s">
        <v>107</v>
      </c>
      <c r="G65" s="56"/>
      <c r="T65" s="56" t="s">
        <v>108</v>
      </c>
      <c r="U65" s="56"/>
    </row>
    <row r="66" spans="1:25">
      <c r="A66" s="7" t="s">
        <v>112</v>
      </c>
      <c r="B66" s="33" t="s">
        <v>102</v>
      </c>
      <c r="C66" s="33"/>
      <c r="D66" s="33"/>
      <c r="E66" s="33"/>
      <c r="F66" s="33"/>
      <c r="G66" s="33"/>
      <c r="H66" s="33"/>
      <c r="I66" s="33"/>
      <c r="J66" s="33"/>
      <c r="K66" s="33"/>
      <c r="O66" s="7" t="s">
        <v>111</v>
      </c>
      <c r="P66" s="33" t="s">
        <v>102</v>
      </c>
      <c r="Q66" s="33"/>
      <c r="R66" s="33"/>
      <c r="S66" s="33"/>
      <c r="T66" s="33"/>
      <c r="U66" s="33"/>
      <c r="V66" s="33"/>
      <c r="W66" s="33"/>
      <c r="X66" s="33"/>
      <c r="Y66" s="33"/>
    </row>
    <row r="67" spans="1:25">
      <c r="A67" s="7" t="s">
        <v>110</v>
      </c>
      <c r="B67" s="33" t="s">
        <v>103</v>
      </c>
      <c r="C67" s="33"/>
      <c r="D67" s="33"/>
      <c r="E67" s="33"/>
      <c r="F67" s="33"/>
      <c r="G67" s="33" t="s">
        <v>104</v>
      </c>
      <c r="H67" s="33"/>
      <c r="I67" s="33"/>
      <c r="J67" s="33"/>
      <c r="K67" s="33"/>
      <c r="O67" s="7" t="s">
        <v>110</v>
      </c>
      <c r="P67" s="33" t="s">
        <v>103</v>
      </c>
      <c r="Q67" s="33"/>
      <c r="R67" s="33"/>
      <c r="S67" s="33"/>
      <c r="T67" s="33"/>
      <c r="U67" s="33" t="s">
        <v>104</v>
      </c>
      <c r="V67" s="33"/>
      <c r="W67" s="33"/>
      <c r="X67" s="33"/>
      <c r="Y67" s="33"/>
    </row>
    <row r="68" spans="1:25">
      <c r="A68" s="46" t="s">
        <v>82</v>
      </c>
      <c r="B68" s="46" t="s">
        <v>83</v>
      </c>
      <c r="C68" s="46" t="s">
        <v>27</v>
      </c>
      <c r="D68" s="46" t="s">
        <v>84</v>
      </c>
      <c r="E68" s="46" t="s">
        <v>85</v>
      </c>
      <c r="F68" s="46" t="s">
        <v>86</v>
      </c>
      <c r="G68" s="46" t="s">
        <v>83</v>
      </c>
      <c r="H68" s="46" t="s">
        <v>27</v>
      </c>
      <c r="I68" s="46" t="s">
        <v>84</v>
      </c>
      <c r="J68" s="46" t="s">
        <v>85</v>
      </c>
      <c r="K68" s="46" t="s">
        <v>86</v>
      </c>
      <c r="O68" s="46" t="s">
        <v>82</v>
      </c>
      <c r="P68" s="46" t="s">
        <v>83</v>
      </c>
      <c r="Q68" s="46" t="s">
        <v>27</v>
      </c>
      <c r="R68" s="46" t="s">
        <v>84</v>
      </c>
      <c r="S68" s="46" t="s">
        <v>85</v>
      </c>
      <c r="T68" s="46" t="s">
        <v>86</v>
      </c>
      <c r="U68" s="46" t="s">
        <v>83</v>
      </c>
      <c r="V68" s="46" t="s">
        <v>27</v>
      </c>
      <c r="W68" s="46" t="s">
        <v>84</v>
      </c>
      <c r="X68" s="46" t="s">
        <v>85</v>
      </c>
      <c r="Y68" s="46" t="s">
        <v>86</v>
      </c>
    </row>
    <row r="69" spans="1: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</row>
    <row r="71" spans="1:25">
      <c r="A71" s="46"/>
      <c r="B71" s="30" t="s">
        <v>47</v>
      </c>
      <c r="C71" s="30" t="s">
        <v>47</v>
      </c>
      <c r="D71" s="30" t="s">
        <v>47</v>
      </c>
      <c r="E71" s="30" t="s">
        <v>47</v>
      </c>
      <c r="F71" s="30"/>
      <c r="G71" s="30" t="s">
        <v>47</v>
      </c>
      <c r="H71" s="30" t="s">
        <v>47</v>
      </c>
      <c r="I71" s="30" t="s">
        <v>47</v>
      </c>
      <c r="J71" s="30" t="s">
        <v>47</v>
      </c>
      <c r="K71" s="30"/>
      <c r="O71" s="46"/>
      <c r="P71" s="30" t="s">
        <v>47</v>
      </c>
      <c r="Q71" s="30" t="s">
        <v>47</v>
      </c>
      <c r="R71" s="30" t="s">
        <v>47</v>
      </c>
      <c r="S71" s="30" t="s">
        <v>47</v>
      </c>
      <c r="T71" s="30"/>
      <c r="U71" s="30" t="s">
        <v>47</v>
      </c>
      <c r="V71" s="30" t="s">
        <v>47</v>
      </c>
      <c r="W71" s="30" t="s">
        <v>47</v>
      </c>
      <c r="X71" s="30" t="s">
        <v>47</v>
      </c>
      <c r="Y71" s="30"/>
    </row>
    <row r="72" spans="1:25">
      <c r="A72" s="29">
        <v>0</v>
      </c>
      <c r="B72" s="19">
        <v>0</v>
      </c>
      <c r="C72" s="23">
        <f>-(Sheet1!E22+Sheet1!F22+1.3*Sheet1!G22)*12/(Sheet3!L15*Sheet3!S15)</f>
        <v>0</v>
      </c>
      <c r="D72" s="23">
        <f>B72+C72</f>
        <v>0</v>
      </c>
      <c r="E72" s="23">
        <f>C8</f>
        <v>-1.8</v>
      </c>
      <c r="F72" s="23" t="s">
        <v>100</v>
      </c>
      <c r="G72" s="19">
        <v>0</v>
      </c>
      <c r="H72" s="23">
        <f>C57/Sheet3!S15</f>
        <v>0</v>
      </c>
      <c r="I72" s="23">
        <f>G72+H72</f>
        <v>0</v>
      </c>
      <c r="J72" s="23">
        <f>C8</f>
        <v>-1.8</v>
      </c>
      <c r="K72" s="20" t="s">
        <v>100</v>
      </c>
      <c r="O72" s="29">
        <v>0</v>
      </c>
      <c r="P72" s="19">
        <v>0</v>
      </c>
      <c r="Q72" s="23">
        <f>-(Sheet1!E22+Sheet1!F22)*12/(Sheet3!L15*Sheet3!S15)</f>
        <v>0</v>
      </c>
      <c r="R72" s="23">
        <f>P72+Q72</f>
        <v>0</v>
      </c>
      <c r="S72" s="23">
        <f>C8</f>
        <v>-1.8</v>
      </c>
      <c r="T72" s="23" t="s">
        <v>100</v>
      </c>
      <c r="U72" s="19">
        <v>0</v>
      </c>
      <c r="V72" s="23">
        <f>Q57/Sheet3!S15</f>
        <v>0</v>
      </c>
      <c r="W72" s="23">
        <f>U72+V72</f>
        <v>0</v>
      </c>
      <c r="X72" s="23">
        <f>C8</f>
        <v>-1.8</v>
      </c>
      <c r="Y72" s="20" t="s">
        <v>100</v>
      </c>
    </row>
    <row r="73" spans="1:25">
      <c r="A73" s="13" t="s">
        <v>12</v>
      </c>
      <c r="B73" s="28">
        <v>0</v>
      </c>
      <c r="C73" s="8">
        <f>-(Sheet1!E23+Sheet1!F23+1.3*Sheet1!G23)*12/(Sheet3!L16*Sheet3!S16)</f>
        <v>-0.25428517894042113</v>
      </c>
      <c r="D73" s="8">
        <f t="shared" ref="D73:D77" si="24">B73+C73</f>
        <v>-0.25428517894042113</v>
      </c>
      <c r="E73" s="8">
        <f>E72</f>
        <v>-1.8</v>
      </c>
      <c r="F73" s="8" t="s">
        <v>100</v>
      </c>
      <c r="G73" s="28">
        <v>0</v>
      </c>
      <c r="H73" s="8">
        <f>C58/Sheet3!S16</f>
        <v>-0.18831704189257753</v>
      </c>
      <c r="I73" s="8">
        <f t="shared" ref="I73:I77" si="25">G73+H73</f>
        <v>-0.18831704189257753</v>
      </c>
      <c r="J73" s="8">
        <f>J72</f>
        <v>-1.8</v>
      </c>
      <c r="K73" s="24" t="s">
        <v>100</v>
      </c>
      <c r="O73" s="13" t="s">
        <v>12</v>
      </c>
      <c r="P73" s="28">
        <v>0</v>
      </c>
      <c r="Q73" s="8">
        <f>-(Sheet1!E23+Sheet1!F23)*12/(Sheet3!L16*Sheet3!S16)</f>
        <v>-4.2080934722149785E-2</v>
      </c>
      <c r="R73" s="8">
        <f t="shared" ref="R73:R77" si="26">P73+Q73</f>
        <v>-4.2080934722149785E-2</v>
      </c>
      <c r="S73" s="8">
        <f>S72</f>
        <v>-1.8</v>
      </c>
      <c r="T73" s="8" t="s">
        <v>100</v>
      </c>
      <c r="U73" s="28">
        <v>0</v>
      </c>
      <c r="V73" s="8">
        <f>Q58/Sheet3!S16</f>
        <v>-3.116405438952705E-2</v>
      </c>
      <c r="W73" s="8">
        <f t="shared" ref="W73:W77" si="27">U73+V73</f>
        <v>-3.116405438952705E-2</v>
      </c>
      <c r="X73" s="8">
        <f>X72</f>
        <v>-1.8</v>
      </c>
      <c r="Y73" s="24" t="s">
        <v>100</v>
      </c>
    </row>
    <row r="74" spans="1:25">
      <c r="A74" s="13" t="s">
        <v>13</v>
      </c>
      <c r="B74" s="28">
        <v>0</v>
      </c>
      <c r="C74" s="8">
        <f>-(Sheet1!E24+Sheet1!F24+1.3*Sheet1!G24)*12/(Sheet3!L17*Sheet3!S17)</f>
        <v>-0.44814680565439524</v>
      </c>
      <c r="D74" s="8">
        <f t="shared" si="24"/>
        <v>-0.44814680565439524</v>
      </c>
      <c r="E74" s="8">
        <f t="shared" ref="E74:E77" si="28">E73</f>
        <v>-1.8</v>
      </c>
      <c r="F74" s="8" t="s">
        <v>100</v>
      </c>
      <c r="G74" s="28">
        <v>0</v>
      </c>
      <c r="H74" s="8">
        <f>C59/Sheet3!S17</f>
        <v>-0.33188596018888283</v>
      </c>
      <c r="I74" s="8">
        <f t="shared" si="25"/>
        <v>-0.33188596018888283</v>
      </c>
      <c r="J74" s="8">
        <f t="shared" ref="J74:J77" si="29">J73</f>
        <v>-1.8</v>
      </c>
      <c r="K74" s="24" t="s">
        <v>100</v>
      </c>
      <c r="O74" s="13" t="s">
        <v>13</v>
      </c>
      <c r="P74" s="28">
        <v>0</v>
      </c>
      <c r="Q74" s="8">
        <f>-(Sheet1!E24+Sheet1!F24)*12/(Sheet3!L17*Sheet3!S17)</f>
        <v>-7.4986327286838336E-2</v>
      </c>
      <c r="R74" s="8">
        <f t="shared" si="26"/>
        <v>-7.4986327286838336E-2</v>
      </c>
      <c r="S74" s="8">
        <f t="shared" ref="S74:S77" si="30">S73</f>
        <v>-1.8</v>
      </c>
      <c r="T74" s="8" t="s">
        <v>100</v>
      </c>
      <c r="U74" s="28">
        <v>0</v>
      </c>
      <c r="V74" s="8">
        <f>Q59/Sheet3!S17</f>
        <v>-5.5532939024946701E-2</v>
      </c>
      <c r="W74" s="8">
        <f t="shared" si="27"/>
        <v>-5.5532939024946701E-2</v>
      </c>
      <c r="X74" s="8">
        <f t="shared" ref="X74:X77" si="31">X73</f>
        <v>-1.8</v>
      </c>
      <c r="Y74" s="24" t="s">
        <v>100</v>
      </c>
    </row>
    <row r="75" spans="1:25">
      <c r="A75" s="13" t="s">
        <v>14</v>
      </c>
      <c r="B75" s="28">
        <v>0</v>
      </c>
      <c r="C75" s="8">
        <f>-(Sheet1!E25+Sheet1!F25+1.3*Sheet1!G25)*12/(Sheet3!L18*Sheet3!S18)</f>
        <v>-0.58128904800684567</v>
      </c>
      <c r="D75" s="8">
        <f t="shared" si="24"/>
        <v>-0.58128904800684567</v>
      </c>
      <c r="E75" s="8">
        <f t="shared" si="28"/>
        <v>-1.8</v>
      </c>
      <c r="F75" s="8" t="s">
        <v>100</v>
      </c>
      <c r="G75" s="28">
        <v>0</v>
      </c>
      <c r="H75" s="8">
        <f>C60/Sheet3!S18</f>
        <v>-0.43048766924339554</v>
      </c>
      <c r="I75" s="8">
        <f t="shared" si="25"/>
        <v>-0.43048766924339554</v>
      </c>
      <c r="J75" s="8">
        <f t="shared" si="29"/>
        <v>-1.8</v>
      </c>
      <c r="K75" s="24" t="s">
        <v>100</v>
      </c>
      <c r="O75" s="13" t="s">
        <v>14</v>
      </c>
      <c r="P75" s="28">
        <v>0</v>
      </c>
      <c r="Q75" s="8">
        <f>-(Sheet1!E25+Sheet1!F25)*12/(Sheet3!L18*Sheet3!S18)</f>
        <v>-9.839977968863596E-2</v>
      </c>
      <c r="R75" s="8">
        <f t="shared" si="26"/>
        <v>-9.839977968863596E-2</v>
      </c>
      <c r="S75" s="8">
        <f t="shared" si="30"/>
        <v>-1.8</v>
      </c>
      <c r="T75" s="8" t="s">
        <v>100</v>
      </c>
      <c r="U75" s="28">
        <v>0</v>
      </c>
      <c r="V75" s="8">
        <f>Q60/Sheet3!S18</f>
        <v>-7.2872337707841447E-2</v>
      </c>
      <c r="W75" s="8">
        <f t="shared" si="27"/>
        <v>-7.2872337707841447E-2</v>
      </c>
      <c r="X75" s="8">
        <f t="shared" si="31"/>
        <v>-1.8</v>
      </c>
      <c r="Y75" s="24" t="s">
        <v>100</v>
      </c>
    </row>
    <row r="76" spans="1:25">
      <c r="A76" s="13" t="s">
        <v>15</v>
      </c>
      <c r="B76" s="28">
        <v>0</v>
      </c>
      <c r="C76" s="8">
        <f>-(Sheet1!E26+Sheet1!F26+1.3*Sheet1!G26)*12/(Sheet3!L19*Sheet3!S19)</f>
        <v>-0.65379680612922941</v>
      </c>
      <c r="D76" s="8">
        <f t="shared" si="24"/>
        <v>-0.65379680612922941</v>
      </c>
      <c r="E76" s="8">
        <f t="shared" si="28"/>
        <v>-1.8</v>
      </c>
      <c r="F76" s="8" t="s">
        <v>100</v>
      </c>
      <c r="G76" s="28">
        <v>0</v>
      </c>
      <c r="H76" s="8">
        <f>C61/Sheet3!S19</f>
        <v>-0.48418504390269118</v>
      </c>
      <c r="I76" s="8">
        <f t="shared" si="25"/>
        <v>-0.48418504390269118</v>
      </c>
      <c r="J76" s="8">
        <f t="shared" si="29"/>
        <v>-1.8</v>
      </c>
      <c r="K76" s="24" t="s">
        <v>100</v>
      </c>
      <c r="O76" s="13" t="s">
        <v>15</v>
      </c>
      <c r="P76" s="28">
        <v>0</v>
      </c>
      <c r="Q76" s="8">
        <f>-(Sheet1!E26+Sheet1!F26)*12/(Sheet3!L19*Sheet3!S19)</f>
        <v>-0.11242675792935256</v>
      </c>
      <c r="R76" s="8">
        <f t="shared" si="26"/>
        <v>-0.11242675792935256</v>
      </c>
      <c r="S76" s="8">
        <f t="shared" si="30"/>
        <v>-1.8</v>
      </c>
      <c r="T76" s="8" t="s">
        <v>100</v>
      </c>
      <c r="U76" s="28">
        <v>0</v>
      </c>
      <c r="V76" s="8">
        <f>Q61/Sheet3!S19</f>
        <v>-8.3260355837683792E-2</v>
      </c>
      <c r="W76" s="8">
        <f t="shared" si="27"/>
        <v>-8.3260355837683792E-2</v>
      </c>
      <c r="X76" s="8">
        <f t="shared" si="31"/>
        <v>-1.8</v>
      </c>
      <c r="Y76" s="24" t="s">
        <v>100</v>
      </c>
    </row>
    <row r="77" spans="1:25">
      <c r="A77" s="13" t="s">
        <v>16</v>
      </c>
      <c r="B77" s="21">
        <v>0</v>
      </c>
      <c r="C77" s="25">
        <f>-(Sheet1!E27+Sheet1!F27+1.3*Sheet1!G27)*12/(Sheet3!L20*Sheet3!S20)</f>
        <v>-0.66567419319561694</v>
      </c>
      <c r="D77" s="25">
        <f t="shared" si="24"/>
        <v>-0.66567419319561694</v>
      </c>
      <c r="E77" s="25">
        <f t="shared" si="28"/>
        <v>-1.8</v>
      </c>
      <c r="F77" s="25" t="s">
        <v>100</v>
      </c>
      <c r="G77" s="21">
        <v>0</v>
      </c>
      <c r="H77" s="25">
        <f>C62/Sheet3!S20</f>
        <v>-0.49298113027734902</v>
      </c>
      <c r="I77" s="25">
        <f t="shared" si="25"/>
        <v>-0.49298113027734902</v>
      </c>
      <c r="J77" s="25">
        <f t="shared" si="29"/>
        <v>-1.8</v>
      </c>
      <c r="K77" s="22" t="s">
        <v>100</v>
      </c>
      <c r="O77" s="13" t="s">
        <v>16</v>
      </c>
      <c r="P77" s="21">
        <v>0</v>
      </c>
      <c r="Q77" s="25">
        <f>-(Sheet1!E27+Sheet1!F27)*12/(Sheet3!L20*Sheet3!S20)</f>
        <v>-0.11706726200898812</v>
      </c>
      <c r="R77" s="25">
        <f t="shared" si="26"/>
        <v>-0.11706726200898812</v>
      </c>
      <c r="S77" s="25">
        <f t="shared" si="30"/>
        <v>-1.8</v>
      </c>
      <c r="T77" s="25" t="s">
        <v>100</v>
      </c>
      <c r="U77" s="21">
        <v>0</v>
      </c>
      <c r="V77" s="25">
        <f>Q62/Sheet3!S20</f>
        <v>-8.6696993414473747E-2</v>
      </c>
      <c r="W77" s="25">
        <f t="shared" si="27"/>
        <v>-8.6696993414473747E-2</v>
      </c>
      <c r="X77" s="25">
        <f t="shared" si="31"/>
        <v>-1.8</v>
      </c>
      <c r="Y77" s="22" t="s">
        <v>100</v>
      </c>
    </row>
  </sheetData>
  <mergeCells count="142">
    <mergeCell ref="U68:U70"/>
    <mergeCell ref="V68:V70"/>
    <mergeCell ref="W68:W70"/>
    <mergeCell ref="X68:X70"/>
    <mergeCell ref="Y68:Y70"/>
    <mergeCell ref="O68:O71"/>
    <mergeCell ref="P68:P70"/>
    <mergeCell ref="Q68:Q70"/>
    <mergeCell ref="R68:R70"/>
    <mergeCell ref="S68:S70"/>
    <mergeCell ref="T68:T70"/>
    <mergeCell ref="Q53:Q55"/>
    <mergeCell ref="X53:X55"/>
    <mergeCell ref="Y53:Y55"/>
    <mergeCell ref="T65:U65"/>
    <mergeCell ref="P66:Y66"/>
    <mergeCell ref="P67:T67"/>
    <mergeCell ref="U67:Y67"/>
    <mergeCell ref="R53:R55"/>
    <mergeCell ref="S53:S55"/>
    <mergeCell ref="T53:T55"/>
    <mergeCell ref="U53:U55"/>
    <mergeCell ref="V53:V55"/>
    <mergeCell ref="W53:W55"/>
    <mergeCell ref="F65:G65"/>
    <mergeCell ref="B66:K66"/>
    <mergeCell ref="B51:K51"/>
    <mergeCell ref="B52:F52"/>
    <mergeCell ref="G52:K52"/>
    <mergeCell ref="B67:F67"/>
    <mergeCell ref="G67:K67"/>
    <mergeCell ref="A68:A71"/>
    <mergeCell ref="B68:B70"/>
    <mergeCell ref="C68:C70"/>
    <mergeCell ref="D68:D70"/>
    <mergeCell ref="E68:E70"/>
    <mergeCell ref="F68:F70"/>
    <mergeCell ref="G68:G70"/>
    <mergeCell ref="H68:H70"/>
    <mergeCell ref="I68:I70"/>
    <mergeCell ref="J68:J70"/>
    <mergeCell ref="K68:K70"/>
    <mergeCell ref="A53:A56"/>
    <mergeCell ref="B53:B55"/>
    <mergeCell ref="C53:C55"/>
    <mergeCell ref="D53:D55"/>
    <mergeCell ref="E53:E55"/>
    <mergeCell ref="F53:F55"/>
    <mergeCell ref="G53:G55"/>
    <mergeCell ref="U35:U37"/>
    <mergeCell ref="V35:V37"/>
    <mergeCell ref="A35:A38"/>
    <mergeCell ref="B35:B37"/>
    <mergeCell ref="C35:C37"/>
    <mergeCell ref="D35:D37"/>
    <mergeCell ref="E35:E37"/>
    <mergeCell ref="H53:H55"/>
    <mergeCell ref="I53:I55"/>
    <mergeCell ref="J53:J55"/>
    <mergeCell ref="K53:K55"/>
    <mergeCell ref="T50:U50"/>
    <mergeCell ref="P51:Y51"/>
    <mergeCell ref="P52:T52"/>
    <mergeCell ref="U52:Y52"/>
    <mergeCell ref="O53:O56"/>
    <mergeCell ref="P53:P55"/>
    <mergeCell ref="W35:W37"/>
    <mergeCell ref="X35:X37"/>
    <mergeCell ref="Y35:Y37"/>
    <mergeCell ref="F50:G50"/>
    <mergeCell ref="O35:O38"/>
    <mergeCell ref="P35:P37"/>
    <mergeCell ref="Q35:Q37"/>
    <mergeCell ref="R35:R37"/>
    <mergeCell ref="S35:S37"/>
    <mergeCell ref="T35:T37"/>
    <mergeCell ref="I35:I37"/>
    <mergeCell ref="J35:J37"/>
    <mergeCell ref="K35:K37"/>
    <mergeCell ref="F35:F37"/>
    <mergeCell ref="G35:G37"/>
    <mergeCell ref="H35:H37"/>
    <mergeCell ref="T17:U17"/>
    <mergeCell ref="P18:Y18"/>
    <mergeCell ref="P19:T19"/>
    <mergeCell ref="U19:Y19"/>
    <mergeCell ref="O20:O23"/>
    <mergeCell ref="P20:P22"/>
    <mergeCell ref="B34:F34"/>
    <mergeCell ref="G34:K34"/>
    <mergeCell ref="W20:W22"/>
    <mergeCell ref="X20:X22"/>
    <mergeCell ref="Y20:Y22"/>
    <mergeCell ref="T32:U32"/>
    <mergeCell ref="P33:Y33"/>
    <mergeCell ref="P34:T34"/>
    <mergeCell ref="U34:Y34"/>
    <mergeCell ref="Q20:Q22"/>
    <mergeCell ref="R20:R22"/>
    <mergeCell ref="S20:S22"/>
    <mergeCell ref="T20:T22"/>
    <mergeCell ref="U20:U22"/>
    <mergeCell ref="V20:V22"/>
    <mergeCell ref="F32:G32"/>
    <mergeCell ref="B33:K33"/>
    <mergeCell ref="K11:L11"/>
    <mergeCell ref="I11:J11"/>
    <mergeCell ref="I9:J9"/>
    <mergeCell ref="I8:J8"/>
    <mergeCell ref="I7:J7"/>
    <mergeCell ref="B19:F19"/>
    <mergeCell ref="G19:K19"/>
    <mergeCell ref="G20:G22"/>
    <mergeCell ref="H20:H22"/>
    <mergeCell ref="I20:I22"/>
    <mergeCell ref="J20:J22"/>
    <mergeCell ref="K20:K22"/>
    <mergeCell ref="D15:H15"/>
    <mergeCell ref="I6:J6"/>
    <mergeCell ref="B18:K18"/>
    <mergeCell ref="F17:G17"/>
    <mergeCell ref="I3:J4"/>
    <mergeCell ref="K3:L4"/>
    <mergeCell ref="I5:J5"/>
    <mergeCell ref="K5:L5"/>
    <mergeCell ref="K6:L6"/>
    <mergeCell ref="K7:L7"/>
    <mergeCell ref="K8:L8"/>
    <mergeCell ref="K9:L9"/>
    <mergeCell ref="D7:E7"/>
    <mergeCell ref="I10:J10"/>
    <mergeCell ref="K10:L10"/>
    <mergeCell ref="A1:E1"/>
    <mergeCell ref="B20:B22"/>
    <mergeCell ref="A20:A23"/>
    <mergeCell ref="C20:C22"/>
    <mergeCell ref="D20:D22"/>
    <mergeCell ref="E20:E22"/>
    <mergeCell ref="F20:F22"/>
    <mergeCell ref="B6:C6"/>
    <mergeCell ref="B7:C7"/>
    <mergeCell ref="D6:E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Nurul afsar Shishir</cp:lastModifiedBy>
  <dcterms:created xsi:type="dcterms:W3CDTF">2015-12-04T05:44:03Z</dcterms:created>
  <dcterms:modified xsi:type="dcterms:W3CDTF">2017-12-10T16:34:17Z</dcterms:modified>
</cp:coreProperties>
</file>