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ed\Google Drive\BUET Study File\4one\CE 410 Concrete Structures Design Sessional II\"/>
    </mc:Choice>
  </mc:AlternateContent>
  <bookViews>
    <workbookView xWindow="0" yWindow="0" windowWidth="20490" windowHeight="7755"/>
  </bookViews>
  <sheets>
    <sheet name="LiveLoadAnalysis" sheetId="1" r:id="rId1"/>
    <sheet name="UnfactoredLoadAnalysis" sheetId="2" r:id="rId2"/>
    <sheet name="FactoredLoadCombination" sheetId="3" r:id="rId3"/>
    <sheet name="ShearDesign" sheetId="6" r:id="rId4"/>
    <sheet name="StressCheckofGirderOnly" sheetId="4" r:id="rId5"/>
    <sheet name="StressCheckAtDifferentStage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6" i="1"/>
  <c r="G14" i="6"/>
  <c r="H41" i="6" l="1"/>
  <c r="H40" i="6"/>
  <c r="H39" i="6"/>
  <c r="H38" i="6"/>
  <c r="H37" i="6"/>
  <c r="H36" i="6"/>
  <c r="H35" i="6"/>
  <c r="E30" i="6"/>
  <c r="J24" i="6"/>
  <c r="J26" i="6"/>
  <c r="J27" i="6"/>
  <c r="J28" i="6"/>
  <c r="J29" i="6"/>
  <c r="J30" i="6"/>
  <c r="O35" i="6" l="1"/>
  <c r="J35" i="6"/>
  <c r="E8" i="6"/>
  <c r="E4" i="6"/>
  <c r="H25" i="6"/>
  <c r="I25" i="6" s="1"/>
  <c r="G27" i="6"/>
  <c r="G28" i="6"/>
  <c r="G29" i="6"/>
  <c r="G30" i="6"/>
  <c r="G26" i="6"/>
  <c r="G24" i="6"/>
  <c r="F25" i="6"/>
  <c r="F26" i="6"/>
  <c r="F27" i="6"/>
  <c r="F28" i="6"/>
  <c r="F29" i="6"/>
  <c r="F30" i="6"/>
  <c r="F24" i="6"/>
  <c r="E25" i="6"/>
  <c r="E26" i="6"/>
  <c r="E27" i="6"/>
  <c r="E28" i="6"/>
  <c r="E29" i="6"/>
  <c r="E24" i="6"/>
  <c r="N14" i="6"/>
  <c r="E36" i="6" s="1"/>
  <c r="N15" i="6"/>
  <c r="E37" i="6" s="1"/>
  <c r="N16" i="6"/>
  <c r="E38" i="6" s="1"/>
  <c r="N17" i="6"/>
  <c r="E39" i="6" s="1"/>
  <c r="N18" i="6"/>
  <c r="E40" i="6" s="1"/>
  <c r="N19" i="6"/>
  <c r="E41" i="6" s="1"/>
  <c r="N13" i="6"/>
  <c r="E35" i="6" s="1"/>
  <c r="J13" i="6"/>
  <c r="D14" i="6"/>
  <c r="E14" i="6" s="1"/>
  <c r="F14" i="6" s="1"/>
  <c r="F7" i="3"/>
  <c r="H7" i="3"/>
  <c r="C16" i="6"/>
  <c r="D16" i="6" s="1"/>
  <c r="E16" i="6" s="1"/>
  <c r="F16" i="6" s="1"/>
  <c r="C17" i="6"/>
  <c r="D17" i="6" s="1"/>
  <c r="E17" i="6" s="1"/>
  <c r="F17" i="6" s="1"/>
  <c r="C18" i="6"/>
  <c r="D18" i="6" s="1"/>
  <c r="E18" i="6" s="1"/>
  <c r="F18" i="6" s="1"/>
  <c r="C19" i="6"/>
  <c r="D19" i="6" s="1"/>
  <c r="E19" i="6" s="1"/>
  <c r="F19" i="6" s="1"/>
  <c r="C15" i="6"/>
  <c r="D15" i="6" s="1"/>
  <c r="E15" i="6" s="1"/>
  <c r="F15" i="6" s="1"/>
  <c r="C13" i="6"/>
  <c r="D13" i="6" s="1"/>
  <c r="E13" i="6" s="1"/>
  <c r="F13" i="6" s="1"/>
  <c r="K25" i="6" l="1"/>
  <c r="H28" i="6"/>
  <c r="H24" i="6"/>
  <c r="H27" i="6"/>
  <c r="H30" i="6"/>
  <c r="I30" i="6" s="1"/>
  <c r="K30" i="6" s="1"/>
  <c r="H26" i="6"/>
  <c r="H29" i="6"/>
  <c r="I14" i="6"/>
  <c r="H14" i="6"/>
  <c r="K14" i="6" s="1"/>
  <c r="I17" i="6"/>
  <c r="G18" i="6"/>
  <c r="H18" i="6" s="1"/>
  <c r="K18" i="6" s="1"/>
  <c r="G15" i="6"/>
  <c r="H15" i="6" s="1"/>
  <c r="K15" i="6" s="1"/>
  <c r="G19" i="6"/>
  <c r="H19" i="6" s="1"/>
  <c r="K19" i="6" s="1"/>
  <c r="I13" i="6"/>
  <c r="I16" i="6"/>
  <c r="G16" i="6"/>
  <c r="H16" i="6" s="1"/>
  <c r="K16" i="6" s="1"/>
  <c r="I19" i="6"/>
  <c r="I15" i="6"/>
  <c r="G13" i="6"/>
  <c r="H13" i="6" s="1"/>
  <c r="K13" i="6" s="1"/>
  <c r="G17" i="6"/>
  <c r="H17" i="6" s="1"/>
  <c r="K17" i="6" s="1"/>
  <c r="I18" i="6"/>
  <c r="V12" i="5"/>
  <c r="V13" i="5"/>
  <c r="V14" i="5"/>
  <c r="V15" i="5"/>
  <c r="V16" i="5"/>
  <c r="V17" i="5"/>
  <c r="I27" i="6" l="1"/>
  <c r="K27" i="6" s="1"/>
  <c r="I29" i="6"/>
  <c r="K29" i="6" s="1"/>
  <c r="I24" i="6"/>
  <c r="K24" i="6" s="1"/>
  <c r="I26" i="6"/>
  <c r="K26" i="6" s="1"/>
  <c r="I28" i="6"/>
  <c r="K28" i="6" s="1"/>
  <c r="C25" i="6"/>
  <c r="C26" i="6"/>
  <c r="C24" i="6"/>
  <c r="C28" i="6"/>
  <c r="C27" i="6"/>
  <c r="C29" i="6"/>
  <c r="L19" i="6"/>
  <c r="C30" i="6"/>
  <c r="L30" i="6" s="1"/>
  <c r="L14" i="6"/>
  <c r="D25" i="6" s="1"/>
  <c r="L16" i="6"/>
  <c r="D27" i="6" s="1"/>
  <c r="L15" i="6"/>
  <c r="D26" i="6" s="1"/>
  <c r="L18" i="6"/>
  <c r="D29" i="6" s="1"/>
  <c r="L13" i="6"/>
  <c r="D24" i="6" s="1"/>
  <c r="L17" i="6"/>
  <c r="D28" i="6" s="1"/>
  <c r="C13" i="5"/>
  <c r="C14" i="5"/>
  <c r="C15" i="5"/>
  <c r="C16" i="5"/>
  <c r="C17" i="5"/>
  <c r="C12" i="5"/>
  <c r="F13" i="5"/>
  <c r="F14" i="5"/>
  <c r="F15" i="5"/>
  <c r="F16" i="5"/>
  <c r="F17" i="5"/>
  <c r="F12" i="5"/>
  <c r="D13" i="5"/>
  <c r="D14" i="5"/>
  <c r="D15" i="5"/>
  <c r="D16" i="5"/>
  <c r="D17" i="5"/>
  <c r="D12" i="5"/>
  <c r="M12" i="5" s="1"/>
  <c r="E13" i="5"/>
  <c r="M13" i="5" s="1"/>
  <c r="E14" i="5"/>
  <c r="E15" i="5"/>
  <c r="E16" i="5"/>
  <c r="E17" i="5"/>
  <c r="M17" i="5" s="1"/>
  <c r="E12" i="5"/>
  <c r="B13" i="5"/>
  <c r="B14" i="5"/>
  <c r="B15" i="5"/>
  <c r="B16" i="5"/>
  <c r="B17" i="5"/>
  <c r="B12" i="5"/>
  <c r="M19" i="6" l="1"/>
  <c r="D30" i="6"/>
  <c r="M25" i="6"/>
  <c r="G36" i="6"/>
  <c r="I36" i="6" s="1"/>
  <c r="K36" i="6" s="1"/>
  <c r="L25" i="6"/>
  <c r="N25" i="6" s="1"/>
  <c r="G41" i="6"/>
  <c r="I41" i="6" s="1"/>
  <c r="K41" i="6" s="1"/>
  <c r="M30" i="6"/>
  <c r="M24" i="6"/>
  <c r="G35" i="6"/>
  <c r="I35" i="6" s="1"/>
  <c r="K35" i="6" s="1"/>
  <c r="L24" i="6"/>
  <c r="N24" i="6" s="1"/>
  <c r="O24" i="6" s="1"/>
  <c r="D35" i="6" s="1"/>
  <c r="F35" i="6" s="1"/>
  <c r="L27" i="6"/>
  <c r="M27" i="6"/>
  <c r="G38" i="6"/>
  <c r="I38" i="6" s="1"/>
  <c r="K38" i="6" s="1"/>
  <c r="M28" i="6"/>
  <c r="G39" i="6"/>
  <c r="I39" i="6" s="1"/>
  <c r="K39" i="6" s="1"/>
  <c r="L28" i="6"/>
  <c r="G40" i="6"/>
  <c r="I40" i="6" s="1"/>
  <c r="K40" i="6" s="1"/>
  <c r="M29" i="6"/>
  <c r="L29" i="6"/>
  <c r="M26" i="6"/>
  <c r="G37" i="6"/>
  <c r="I37" i="6" s="1"/>
  <c r="K37" i="6" s="1"/>
  <c r="L26" i="6"/>
  <c r="M18" i="6"/>
  <c r="M15" i="6"/>
  <c r="M17" i="6"/>
  <c r="M16" i="6"/>
  <c r="M14" i="6"/>
  <c r="M13" i="6"/>
  <c r="S12" i="5"/>
  <c r="G14" i="5"/>
  <c r="P15" i="5"/>
  <c r="G17" i="5"/>
  <c r="G13" i="5"/>
  <c r="S17" i="5"/>
  <c r="J12" i="5"/>
  <c r="J13" i="5"/>
  <c r="P13" i="5"/>
  <c r="P17" i="5"/>
  <c r="S15" i="5"/>
  <c r="M16" i="5"/>
  <c r="P14" i="5"/>
  <c r="S16" i="5"/>
  <c r="S13" i="5"/>
  <c r="J15" i="5"/>
  <c r="G12" i="5"/>
  <c r="J14" i="5"/>
  <c r="P12" i="5"/>
  <c r="P16" i="5"/>
  <c r="S14" i="5"/>
  <c r="J17" i="5"/>
  <c r="G15" i="5"/>
  <c r="J16" i="5"/>
  <c r="M14" i="5"/>
  <c r="G16" i="5"/>
  <c r="M15" i="5"/>
  <c r="B11" i="4"/>
  <c r="B12" i="4"/>
  <c r="B13" i="4"/>
  <c r="B14" i="4"/>
  <c r="B15" i="4"/>
  <c r="B10" i="4"/>
  <c r="N27" i="6" l="1"/>
  <c r="O27" i="6" s="1"/>
  <c r="D38" i="6" s="1"/>
  <c r="F38" i="6" s="1"/>
  <c r="M38" i="6" s="1"/>
  <c r="N38" i="6" s="1"/>
  <c r="N26" i="6"/>
  <c r="O26" i="6" s="1"/>
  <c r="D37" i="6" s="1"/>
  <c r="F37" i="6" s="1"/>
  <c r="M37" i="6" s="1"/>
  <c r="N37" i="6" s="1"/>
  <c r="O25" i="6"/>
  <c r="D36" i="6" s="1"/>
  <c r="F36" i="6" s="1"/>
  <c r="M36" i="6" s="1"/>
  <c r="N36" i="6" s="1"/>
  <c r="M35" i="6"/>
  <c r="N35" i="6" s="1"/>
  <c r="N28" i="6"/>
  <c r="O28" i="6" s="1"/>
  <c r="D39" i="6" s="1"/>
  <c r="F39" i="6" s="1"/>
  <c r="M39" i="6" s="1"/>
  <c r="N39" i="6" s="1"/>
  <c r="N30" i="6"/>
  <c r="O30" i="6" s="1"/>
  <c r="D41" i="6" s="1"/>
  <c r="F41" i="6" s="1"/>
  <c r="M41" i="6" s="1"/>
  <c r="N41" i="6" s="1"/>
  <c r="N29" i="6"/>
  <c r="O29" i="6" s="1"/>
  <c r="D40" i="6" s="1"/>
  <c r="F40" i="6" s="1"/>
  <c r="M40" i="6" s="1"/>
  <c r="N40" i="6" s="1"/>
  <c r="E15" i="4"/>
  <c r="F15" i="4"/>
  <c r="F14" i="4"/>
  <c r="F13" i="4"/>
  <c r="F12" i="4"/>
  <c r="F11" i="4"/>
  <c r="F10" i="4"/>
  <c r="E14" i="4"/>
  <c r="E13" i="4"/>
  <c r="E12" i="4"/>
  <c r="E11" i="4"/>
  <c r="E10" i="4"/>
  <c r="D11" i="4"/>
  <c r="D12" i="4"/>
  <c r="D13" i="4"/>
  <c r="D14" i="4"/>
  <c r="D15" i="4"/>
  <c r="D10" i="4"/>
  <c r="I21" i="2" l="1"/>
  <c r="D21" i="3" s="1"/>
  <c r="I22" i="2"/>
  <c r="D22" i="3" s="1"/>
  <c r="I23" i="2"/>
  <c r="D23" i="3" s="1"/>
  <c r="I24" i="2"/>
  <c r="D24" i="3" s="1"/>
  <c r="I25" i="2"/>
  <c r="D25" i="3" s="1"/>
  <c r="I26" i="2"/>
  <c r="D26" i="3" s="1"/>
  <c r="I20" i="2"/>
  <c r="D20" i="3" s="1"/>
  <c r="I7" i="2"/>
  <c r="D7" i="3" s="1"/>
  <c r="I8" i="2"/>
  <c r="D8" i="3" s="1"/>
  <c r="I9" i="2"/>
  <c r="D9" i="3" s="1"/>
  <c r="I10" i="2"/>
  <c r="D10" i="3" s="1"/>
  <c r="I11" i="2"/>
  <c r="D11" i="3" s="1"/>
  <c r="I6" i="2"/>
  <c r="D6" i="3" s="1"/>
  <c r="F21" i="2"/>
  <c r="C21" i="3" s="1"/>
  <c r="F26" i="2"/>
  <c r="C26" i="3" s="1"/>
  <c r="F25" i="2"/>
  <c r="C25" i="3" s="1"/>
  <c r="F24" i="2"/>
  <c r="C24" i="3" s="1"/>
  <c r="G24" i="3" s="1"/>
  <c r="F23" i="2"/>
  <c r="C23" i="3" s="1"/>
  <c r="I23" i="3" s="1"/>
  <c r="F22" i="2"/>
  <c r="C22" i="3" s="1"/>
  <c r="I22" i="3" s="1"/>
  <c r="F20" i="2"/>
  <c r="C20" i="3" s="1"/>
  <c r="F7" i="2"/>
  <c r="C7" i="3" s="1"/>
  <c r="F8" i="2"/>
  <c r="C8" i="3" s="1"/>
  <c r="G8" i="3" s="1"/>
  <c r="F9" i="2"/>
  <c r="C9" i="3" s="1"/>
  <c r="F10" i="2"/>
  <c r="C10" i="3" s="1"/>
  <c r="G10" i="3" s="1"/>
  <c r="F11" i="2"/>
  <c r="C11" i="3" s="1"/>
  <c r="F6" i="2"/>
  <c r="C6" i="3" s="1"/>
  <c r="E20" i="1"/>
  <c r="H20" i="1" s="1"/>
  <c r="J21" i="2" s="1"/>
  <c r="E21" i="3" s="1"/>
  <c r="E21" i="1"/>
  <c r="H21" i="1" s="1"/>
  <c r="J22" i="2" s="1"/>
  <c r="E22" i="3" s="1"/>
  <c r="E25" i="1"/>
  <c r="H25" i="1" s="1"/>
  <c r="J26" i="2" s="1"/>
  <c r="E26" i="3" s="1"/>
  <c r="E24" i="1"/>
  <c r="H24" i="1" s="1"/>
  <c r="J25" i="2" s="1"/>
  <c r="E25" i="3" s="1"/>
  <c r="E23" i="1"/>
  <c r="H23" i="1" s="1"/>
  <c r="J24" i="2" s="1"/>
  <c r="E24" i="3" s="1"/>
  <c r="E22" i="1"/>
  <c r="H22" i="1" s="1"/>
  <c r="J23" i="2" s="1"/>
  <c r="E23" i="3" s="1"/>
  <c r="E19" i="1"/>
  <c r="H19" i="1" s="1"/>
  <c r="J20" i="2" s="1"/>
  <c r="E20" i="3" s="1"/>
  <c r="E6" i="1"/>
  <c r="J7" i="2" s="1"/>
  <c r="E7" i="3" s="1"/>
  <c r="E7" i="1"/>
  <c r="H7" i="1" s="1"/>
  <c r="J8" i="2" s="1"/>
  <c r="E8" i="3" s="1"/>
  <c r="E8" i="1"/>
  <c r="J9" i="2" s="1"/>
  <c r="E9" i="3" s="1"/>
  <c r="E9" i="1"/>
  <c r="H9" i="1" s="1"/>
  <c r="J10" i="2" s="1"/>
  <c r="E10" i="3" s="1"/>
  <c r="E10" i="1"/>
  <c r="H10" i="1" s="1"/>
  <c r="J11" i="2" s="1"/>
  <c r="E11" i="3" s="1"/>
  <c r="E5" i="1"/>
  <c r="H5" i="1" s="1"/>
  <c r="J6" i="2" s="1"/>
  <c r="E6" i="3" s="1"/>
  <c r="J23" i="3" l="1"/>
  <c r="I21" i="3"/>
  <c r="G21" i="3"/>
  <c r="G9" i="3"/>
  <c r="I9" i="3"/>
  <c r="I24" i="3"/>
  <c r="J21" i="3"/>
  <c r="J11" i="3"/>
  <c r="J7" i="3"/>
  <c r="J26" i="3"/>
  <c r="H22" i="3"/>
  <c r="J22" i="3"/>
  <c r="F22" i="3"/>
  <c r="F26" i="3"/>
  <c r="H6" i="3"/>
  <c r="H8" i="3"/>
  <c r="F21" i="3"/>
  <c r="F11" i="3"/>
  <c r="H9" i="3"/>
  <c r="H21" i="3"/>
  <c r="F6" i="3"/>
  <c r="J10" i="3"/>
  <c r="J20" i="3"/>
  <c r="F20" i="3"/>
  <c r="I6" i="3"/>
  <c r="I8" i="3"/>
  <c r="H11" i="3"/>
  <c r="I11" i="3"/>
  <c r="I7" i="3"/>
  <c r="J9" i="3"/>
  <c r="F24" i="3"/>
  <c r="F25" i="3"/>
  <c r="F10" i="3"/>
  <c r="I10" i="3"/>
  <c r="J6" i="3"/>
  <c r="J8" i="3"/>
  <c r="F23" i="3"/>
  <c r="J24" i="3"/>
  <c r="J25" i="3"/>
  <c r="G20" i="3"/>
  <c r="G25" i="3"/>
  <c r="G26" i="3"/>
  <c r="H20" i="3"/>
  <c r="H23" i="3"/>
  <c r="H24" i="3"/>
  <c r="H25" i="3"/>
  <c r="H26" i="3"/>
  <c r="G22" i="3"/>
  <c r="G23" i="3"/>
  <c r="I20" i="3"/>
  <c r="I25" i="3"/>
  <c r="I26" i="3"/>
  <c r="H10" i="3"/>
  <c r="F9" i="3"/>
  <c r="G11" i="3"/>
  <c r="G7" i="3"/>
  <c r="G6" i="3"/>
  <c r="F8" i="3"/>
</calcChain>
</file>

<file path=xl/sharedStrings.xml><?xml version="1.0" encoding="utf-8"?>
<sst xmlns="http://schemas.openxmlformats.org/spreadsheetml/2006/main" count="400" uniqueCount="127">
  <si>
    <t>Location at section from left support</t>
  </si>
  <si>
    <t>Distance</t>
  </si>
  <si>
    <t>(ft)</t>
  </si>
  <si>
    <t>Truck Load</t>
  </si>
  <si>
    <t>(kips-ft)</t>
  </si>
  <si>
    <t>Tandem Load</t>
  </si>
  <si>
    <t>Governing Load</t>
  </si>
  <si>
    <t>Truck or Tandem</t>
  </si>
  <si>
    <t>Lane Load</t>
  </si>
  <si>
    <t>Live Load</t>
  </si>
  <si>
    <t>0.1L</t>
  </si>
  <si>
    <t>0.2L</t>
  </si>
  <si>
    <t>0.3L</t>
  </si>
  <si>
    <t>0.4L</t>
  </si>
  <si>
    <t>0.5L</t>
  </si>
  <si>
    <t>Live Load (Moment) Calculation</t>
  </si>
  <si>
    <t>Live Load (Shear) Calculation</t>
  </si>
  <si>
    <t>(kips)</t>
  </si>
  <si>
    <t>DFM</t>
  </si>
  <si>
    <t>0.5h</t>
  </si>
  <si>
    <t>Unfactored Moment</t>
  </si>
  <si>
    <t>Non-Composite</t>
  </si>
  <si>
    <t>Girder SW</t>
  </si>
  <si>
    <t>Slab SW</t>
  </si>
  <si>
    <t>Diaphragm SW</t>
  </si>
  <si>
    <t>Wearing Course</t>
  </si>
  <si>
    <t>Railing &amp; Sidewalk</t>
  </si>
  <si>
    <t>Composite</t>
  </si>
  <si>
    <t>Unfactored Shear</t>
  </si>
  <si>
    <t>WC + R&amp;SW</t>
  </si>
  <si>
    <t>Railing &amp; SideWalk</t>
  </si>
  <si>
    <t>Total NC</t>
  </si>
  <si>
    <t>Service III</t>
  </si>
  <si>
    <t>Strength I</t>
  </si>
  <si>
    <t>NC</t>
  </si>
  <si>
    <t>Factored Load (Shear) Combination</t>
  </si>
  <si>
    <t>Service I</t>
  </si>
  <si>
    <t>Factored Load (Moment) Combination</t>
  </si>
  <si>
    <t>DFS</t>
  </si>
  <si>
    <t>Fpi (kip)=</t>
  </si>
  <si>
    <t>Stop(girder) (inch^3)=</t>
  </si>
  <si>
    <t>Sbotto(girder) (inch^3)=</t>
  </si>
  <si>
    <t>Agirder (inch^2)=</t>
  </si>
  <si>
    <t>Eccentricity, e</t>
  </si>
  <si>
    <t>(inch)</t>
  </si>
  <si>
    <t>Actual Stress</t>
  </si>
  <si>
    <t>f,top</t>
  </si>
  <si>
    <t>f,bottom</t>
  </si>
  <si>
    <t>(ksi)</t>
  </si>
  <si>
    <t>Girder SW Moment</t>
  </si>
  <si>
    <t>Fpe (kip)=</t>
  </si>
  <si>
    <t>NC Moment</t>
  </si>
  <si>
    <t>kips-ft</t>
  </si>
  <si>
    <t>Composite Moment</t>
  </si>
  <si>
    <t>Stop(composite) (inch^3)=</t>
  </si>
  <si>
    <t>Live Load Moment</t>
  </si>
  <si>
    <t>check 1</t>
  </si>
  <si>
    <t>f,allow</t>
  </si>
  <si>
    <t>Remark</t>
  </si>
  <si>
    <t>Okay</t>
  </si>
  <si>
    <t>check 2</t>
  </si>
  <si>
    <t>check 3</t>
  </si>
  <si>
    <t>comp, check1</t>
  </si>
  <si>
    <t>comp,check2</t>
  </si>
  <si>
    <t>comp,check3</t>
  </si>
  <si>
    <t>Sbottom(composite) (inch^3)=</t>
  </si>
  <si>
    <t>tension</t>
  </si>
  <si>
    <t>f,top,beam</t>
  </si>
  <si>
    <t>f,tob,slab</t>
  </si>
  <si>
    <t>E,deck (psi)=</t>
  </si>
  <si>
    <t>E,girder (psi)=</t>
  </si>
  <si>
    <t>comp,slab</t>
  </si>
  <si>
    <t>bv (inch)=</t>
  </si>
  <si>
    <t>Mmax</t>
  </si>
  <si>
    <t>fc'(ksi)=</t>
  </si>
  <si>
    <t>de=dp</t>
  </si>
  <si>
    <t>Vu</t>
  </si>
  <si>
    <t>β1=</t>
  </si>
  <si>
    <t>fpu(ksi)=</t>
  </si>
  <si>
    <t>c</t>
  </si>
  <si>
    <t>(inch))</t>
  </si>
  <si>
    <t>beff (inch)=</t>
  </si>
  <si>
    <t>k=</t>
  </si>
  <si>
    <t>a</t>
  </si>
  <si>
    <t>Mn</t>
  </si>
  <si>
    <t>Aps(in^2)=</t>
  </si>
  <si>
    <t>fps</t>
  </si>
  <si>
    <t>h (inch)=</t>
  </si>
  <si>
    <t>dv</t>
  </si>
  <si>
    <t>Vd</t>
  </si>
  <si>
    <t>Vi</t>
  </si>
  <si>
    <t>Mcre</t>
  </si>
  <si>
    <t>Remarks</t>
  </si>
  <si>
    <t>okay</t>
  </si>
  <si>
    <t>fpc (ksi)=</t>
  </si>
  <si>
    <t>Vcw</t>
  </si>
  <si>
    <t>Agirder (in^2)=</t>
  </si>
  <si>
    <t>Acomposite (in^2)=</t>
  </si>
  <si>
    <t>Fpe (kips)=</t>
  </si>
  <si>
    <t>S,botttom,nc (in^3)=</t>
  </si>
  <si>
    <t>fcpe</t>
  </si>
  <si>
    <t>Mdnc</t>
  </si>
  <si>
    <t>S,botttom,com (in^3)=</t>
  </si>
  <si>
    <t>fr=</t>
  </si>
  <si>
    <t>.02xsqrt(fc')xbvxdv + Vd + ViMcr/Mmax</t>
  </si>
  <si>
    <t>Vci</t>
  </si>
  <si>
    <t>Vc</t>
  </si>
  <si>
    <t>Vs</t>
  </si>
  <si>
    <t>Av/s</t>
  </si>
  <si>
    <t>(in^2/in)</t>
  </si>
  <si>
    <t>fy (ksi)=</t>
  </si>
  <si>
    <t>vu</t>
  </si>
  <si>
    <t>0.125fc'</t>
  </si>
  <si>
    <t>(in^/in)</t>
  </si>
  <si>
    <t>s,max</t>
  </si>
  <si>
    <t>(Av/s)min</t>
  </si>
  <si>
    <t>(inch^2)</t>
  </si>
  <si>
    <t>s</t>
  </si>
  <si>
    <t>Av, provided</t>
  </si>
  <si>
    <t>(Av/s), provided</t>
  </si>
  <si>
    <t>Vc=min(Vcw,Vci)</t>
  </si>
  <si>
    <t>0.9*de</t>
  </si>
  <si>
    <t>0.72*h</t>
  </si>
  <si>
    <t>Mn/(As*fy+Aps*fps)</t>
  </si>
  <si>
    <t>0.18*fc'*bv*dv</t>
  </si>
  <si>
    <t>0.06*sqrt(fc')*bv*dv</t>
  </si>
  <si>
    <t>cotƟ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</si>
</sst>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I8" sqref="I8"/>
    </sheetView>
  </sheetViews>
  <sheetFormatPr defaultRowHeight="15" x14ac:dyDescent="0.25"/>
  <cols>
    <col min="1" max="1" width="19.42578125" style="3" customWidth="1"/>
    <col min="2" max="2" width="9.140625" style="3"/>
    <col min="3" max="3" width="10.28515625" style="3" bestFit="1" customWidth="1"/>
    <col min="4" max="4" width="12.7109375" style="3" bestFit="1" customWidth="1"/>
    <col min="5" max="5" width="15.7109375" style="3" bestFit="1" customWidth="1"/>
    <col min="6" max="6" width="9.7109375" style="3" bestFit="1" customWidth="1"/>
    <col min="7" max="7" width="9.7109375" style="3" customWidth="1"/>
    <col min="8" max="16384" width="9.140625" style="3"/>
  </cols>
  <sheetData>
    <row r="1" spans="1:9" x14ac:dyDescent="0.25">
      <c r="A1" s="17" t="s">
        <v>15</v>
      </c>
      <c r="B1" s="17"/>
      <c r="C1" s="17"/>
      <c r="D1" s="17"/>
      <c r="E1" s="17"/>
      <c r="F1" s="17"/>
      <c r="G1" s="17"/>
      <c r="H1" s="17"/>
    </row>
    <row r="2" spans="1:9" x14ac:dyDescent="0.25">
      <c r="A2" s="18" t="s">
        <v>0</v>
      </c>
      <c r="B2" s="17" t="s">
        <v>1</v>
      </c>
      <c r="C2" s="17" t="s">
        <v>3</v>
      </c>
      <c r="D2" s="17" t="s">
        <v>5</v>
      </c>
      <c r="E2" s="3" t="s">
        <v>6</v>
      </c>
      <c r="F2" s="17" t="s">
        <v>8</v>
      </c>
      <c r="G2" s="17" t="s">
        <v>18</v>
      </c>
      <c r="H2" s="17" t="s">
        <v>9</v>
      </c>
    </row>
    <row r="3" spans="1:9" x14ac:dyDescent="0.25">
      <c r="A3" s="18"/>
      <c r="B3" s="17"/>
      <c r="C3" s="17"/>
      <c r="D3" s="17"/>
      <c r="E3" s="3" t="s">
        <v>7</v>
      </c>
      <c r="F3" s="17"/>
      <c r="G3" s="17"/>
      <c r="H3" s="17"/>
    </row>
    <row r="4" spans="1:9" x14ac:dyDescent="0.25">
      <c r="A4" s="18"/>
      <c r="B4" s="3" t="s">
        <v>2</v>
      </c>
      <c r="C4" s="3" t="s">
        <v>4</v>
      </c>
      <c r="D4" s="3" t="s">
        <v>4</v>
      </c>
      <c r="E4" s="3" t="s">
        <v>4</v>
      </c>
      <c r="F4" s="3" t="s">
        <v>4</v>
      </c>
      <c r="G4" s="17"/>
      <c r="H4" s="3" t="s">
        <v>4</v>
      </c>
    </row>
    <row r="5" spans="1:9" x14ac:dyDescent="0.25">
      <c r="A5" s="3">
        <v>0</v>
      </c>
      <c r="B5" s="3">
        <v>0</v>
      </c>
      <c r="C5" s="3">
        <v>0</v>
      </c>
      <c r="D5" s="3">
        <v>0</v>
      </c>
      <c r="E5" s="3">
        <f t="shared" ref="E5:E10" si="0">MAX(C5,D5)</f>
        <v>0</v>
      </c>
      <c r="F5" s="3">
        <v>0</v>
      </c>
      <c r="G5" s="17">
        <v>0.7</v>
      </c>
      <c r="H5" s="3">
        <f>G5*(1.33*E5+F5)</f>
        <v>0</v>
      </c>
    </row>
    <row r="6" spans="1:9" x14ac:dyDescent="0.25">
      <c r="A6" s="3" t="s">
        <v>10</v>
      </c>
      <c r="B6" s="3">
        <v>10.7</v>
      </c>
      <c r="C6" s="3">
        <v>626.20000000000005</v>
      </c>
      <c r="D6" s="3">
        <v>471.5</v>
      </c>
      <c r="E6" s="3">
        <f t="shared" si="0"/>
        <v>626.20000000000005</v>
      </c>
      <c r="F6" s="3">
        <v>329.7</v>
      </c>
      <c r="G6" s="17"/>
      <c r="H6" s="3">
        <f>G5*(1.33*E6+F6)</f>
        <v>813.78219999999999</v>
      </c>
    </row>
    <row r="7" spans="1:9" x14ac:dyDescent="0.25">
      <c r="A7" s="3" t="s">
        <v>11</v>
      </c>
      <c r="B7" s="3">
        <v>21.4</v>
      </c>
      <c r="C7" s="3">
        <v>1098.24</v>
      </c>
      <c r="D7" s="3">
        <v>836</v>
      </c>
      <c r="E7" s="3">
        <f t="shared" si="0"/>
        <v>1098.24</v>
      </c>
      <c r="F7" s="3">
        <v>586.19000000000005</v>
      </c>
      <c r="G7" s="17"/>
      <c r="H7" s="3">
        <f>G5*(1.33*E7+F7)</f>
        <v>1432.7944399999999</v>
      </c>
    </row>
    <row r="8" spans="1:9" x14ac:dyDescent="0.25">
      <c r="A8" s="3" t="s">
        <v>12</v>
      </c>
      <c r="B8" s="3">
        <v>32.1</v>
      </c>
      <c r="C8" s="3">
        <v>1416.24</v>
      </c>
      <c r="D8" s="3">
        <v>1093.5</v>
      </c>
      <c r="E8" s="3">
        <f t="shared" si="0"/>
        <v>1416.24</v>
      </c>
      <c r="F8" s="3">
        <v>769.4</v>
      </c>
      <c r="G8" s="17"/>
      <c r="H8" s="3">
        <f>G5*(1.33*E8+F8)</f>
        <v>1857.09944</v>
      </c>
    </row>
    <row r="9" spans="1:9" x14ac:dyDescent="0.25">
      <c r="A9" s="3" t="s">
        <v>13</v>
      </c>
      <c r="B9" s="3">
        <v>42.8</v>
      </c>
      <c r="C9" s="3">
        <v>1602.6</v>
      </c>
      <c r="D9" s="3">
        <v>1244</v>
      </c>
      <c r="E9" s="3">
        <f t="shared" si="0"/>
        <v>1602.6</v>
      </c>
      <c r="F9" s="3">
        <v>879.3</v>
      </c>
      <c r="G9" s="17"/>
      <c r="H9" s="3">
        <f>G5*(1.33*E9+F9)</f>
        <v>2107.5305999999996</v>
      </c>
    </row>
    <row r="10" spans="1:9" x14ac:dyDescent="0.25">
      <c r="A10" s="3" t="s">
        <v>14</v>
      </c>
      <c r="B10" s="3">
        <v>53.5</v>
      </c>
      <c r="C10" s="3">
        <v>1644</v>
      </c>
      <c r="D10" s="3">
        <v>1286.3</v>
      </c>
      <c r="E10" s="3">
        <f t="shared" si="0"/>
        <v>1644</v>
      </c>
      <c r="F10" s="3">
        <v>915.92</v>
      </c>
      <c r="G10" s="17"/>
      <c r="H10" s="3">
        <f>G5*(1.33*E10+F10)</f>
        <v>2171.7080000000001</v>
      </c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5" spans="1:9" x14ac:dyDescent="0.25">
      <c r="A15" s="17" t="s">
        <v>16</v>
      </c>
      <c r="B15" s="17"/>
      <c r="C15" s="17"/>
      <c r="D15" s="17"/>
      <c r="E15" s="17"/>
      <c r="F15" s="17"/>
      <c r="G15" s="17"/>
      <c r="H15" s="17"/>
    </row>
    <row r="16" spans="1:9" x14ac:dyDescent="0.25">
      <c r="A16" s="18" t="s">
        <v>0</v>
      </c>
      <c r="B16" s="17" t="s">
        <v>1</v>
      </c>
      <c r="C16" s="17" t="s">
        <v>3</v>
      </c>
      <c r="D16" s="17" t="s">
        <v>5</v>
      </c>
      <c r="E16" s="3" t="s">
        <v>6</v>
      </c>
      <c r="F16" s="17" t="s">
        <v>8</v>
      </c>
      <c r="G16" s="17" t="s">
        <v>38</v>
      </c>
      <c r="H16" s="17" t="s">
        <v>9</v>
      </c>
    </row>
    <row r="17" spans="1:8" x14ac:dyDescent="0.25">
      <c r="A17" s="18"/>
      <c r="B17" s="17"/>
      <c r="C17" s="17"/>
      <c r="D17" s="17"/>
      <c r="E17" s="3" t="s">
        <v>7</v>
      </c>
      <c r="F17" s="17"/>
      <c r="G17" s="17"/>
      <c r="H17" s="17"/>
    </row>
    <row r="18" spans="1:8" x14ac:dyDescent="0.25">
      <c r="A18" s="18"/>
      <c r="B18" s="3" t="s">
        <v>2</v>
      </c>
      <c r="C18" s="3" t="s">
        <v>17</v>
      </c>
      <c r="D18" s="3" t="s">
        <v>17</v>
      </c>
      <c r="E18" s="3" t="s">
        <v>17</v>
      </c>
      <c r="F18" s="3" t="s">
        <v>17</v>
      </c>
      <c r="G18" s="17"/>
      <c r="H18" s="3" t="s">
        <v>17</v>
      </c>
    </row>
    <row r="19" spans="1:8" x14ac:dyDescent="0.25">
      <c r="A19" s="3">
        <v>0</v>
      </c>
      <c r="B19" s="3">
        <v>0</v>
      </c>
      <c r="C19" s="3">
        <v>65.760000000000005</v>
      </c>
      <c r="D19" s="3">
        <v>3.92</v>
      </c>
      <c r="E19" s="3">
        <f>MAX(C19,D19)</f>
        <v>65.760000000000005</v>
      </c>
      <c r="F19" s="3">
        <v>34.24</v>
      </c>
      <c r="G19" s="17">
        <v>0.86</v>
      </c>
      <c r="H19" s="3">
        <f>G19*(1.33*E19+F19)</f>
        <v>104.66268800000002</v>
      </c>
    </row>
    <row r="20" spans="1:8" x14ac:dyDescent="0.25">
      <c r="A20" s="3" t="s">
        <v>19</v>
      </c>
      <c r="B20" s="3">
        <v>3</v>
      </c>
      <c r="C20" s="3">
        <v>63.6</v>
      </c>
      <c r="D20" s="3">
        <v>47.5</v>
      </c>
      <c r="E20" s="3">
        <f t="shared" ref="E20:E21" si="1">MAX(C20,D20)</f>
        <v>63.6</v>
      </c>
      <c r="F20" s="3">
        <v>32.28</v>
      </c>
      <c r="G20" s="17"/>
      <c r="H20" s="3">
        <f>G19*(1.33*E20+F20)</f>
        <v>100.50648000000001</v>
      </c>
    </row>
    <row r="21" spans="1:8" x14ac:dyDescent="0.25">
      <c r="A21" s="3" t="s">
        <v>10</v>
      </c>
      <c r="B21" s="3">
        <v>10.7</v>
      </c>
      <c r="C21" s="3">
        <v>58.56</v>
      </c>
      <c r="D21" s="3">
        <v>44</v>
      </c>
      <c r="E21" s="3">
        <f t="shared" si="1"/>
        <v>58.56</v>
      </c>
      <c r="F21" s="3">
        <v>27.7</v>
      </c>
      <c r="G21" s="17"/>
      <c r="H21" s="3">
        <f>G19*(1.33*E21+F21)</f>
        <v>90.802928000000009</v>
      </c>
    </row>
    <row r="22" spans="1:8" x14ac:dyDescent="0.25">
      <c r="A22" s="3" t="s">
        <v>11</v>
      </c>
      <c r="B22" s="3">
        <v>21.4</v>
      </c>
      <c r="C22" s="3">
        <v>51.28</v>
      </c>
      <c r="D22" s="3">
        <v>39</v>
      </c>
      <c r="E22" s="3">
        <f t="shared" ref="E22:E25" si="2">MAX(C22,D22)</f>
        <v>51.28</v>
      </c>
      <c r="F22" s="3">
        <v>21.9</v>
      </c>
      <c r="G22" s="17"/>
      <c r="H22" s="3">
        <f>G19*(1.33*E22+F22)</f>
        <v>77.488064000000008</v>
      </c>
    </row>
    <row r="23" spans="1:8" x14ac:dyDescent="0.25">
      <c r="A23" s="3" t="s">
        <v>12</v>
      </c>
      <c r="B23" s="3">
        <v>32.1</v>
      </c>
      <c r="C23" s="3">
        <v>44.16</v>
      </c>
      <c r="D23" s="3">
        <v>34</v>
      </c>
      <c r="E23" s="3">
        <f t="shared" si="2"/>
        <v>44.16</v>
      </c>
      <c r="F23" s="3">
        <v>16.78</v>
      </c>
      <c r="G23" s="17"/>
      <c r="H23" s="3">
        <f>G19*(1.33*E23+F23)</f>
        <v>64.941007999999997</v>
      </c>
    </row>
    <row r="24" spans="1:8" x14ac:dyDescent="0.25">
      <c r="A24" s="3" t="s">
        <v>13</v>
      </c>
      <c r="B24" s="3">
        <v>42.8</v>
      </c>
      <c r="C24" s="3">
        <v>37.28</v>
      </c>
      <c r="D24" s="3">
        <v>29</v>
      </c>
      <c r="E24" s="3">
        <f t="shared" si="2"/>
        <v>37.28</v>
      </c>
      <c r="F24" s="3">
        <v>12.32</v>
      </c>
      <c r="G24" s="17"/>
      <c r="H24" s="3">
        <f>G19*(1.33*E24+F24)</f>
        <v>53.236064000000006</v>
      </c>
    </row>
    <row r="25" spans="1:8" x14ac:dyDescent="0.25">
      <c r="A25" s="3" t="s">
        <v>14</v>
      </c>
      <c r="B25" s="3">
        <v>53.5</v>
      </c>
      <c r="C25" s="3">
        <v>29.76</v>
      </c>
      <c r="D25" s="3">
        <v>24</v>
      </c>
      <c r="E25" s="3">
        <f t="shared" si="2"/>
        <v>29.76</v>
      </c>
      <c r="F25" s="3">
        <v>8.56</v>
      </c>
      <c r="G25" s="17"/>
      <c r="H25" s="3">
        <f>G19*(1.33*E25+F25)</f>
        <v>41.401088000000001</v>
      </c>
    </row>
  </sheetData>
  <mergeCells count="18">
    <mergeCell ref="G19:G25"/>
    <mergeCell ref="G5:G10"/>
    <mergeCell ref="A1:H1"/>
    <mergeCell ref="A15:H15"/>
    <mergeCell ref="A16:A18"/>
    <mergeCell ref="A2:A4"/>
    <mergeCell ref="G2:G4"/>
    <mergeCell ref="H2:H3"/>
    <mergeCell ref="F16:F17"/>
    <mergeCell ref="H16:H17"/>
    <mergeCell ref="B16:B17"/>
    <mergeCell ref="C16:C17"/>
    <mergeCell ref="D16:D17"/>
    <mergeCell ref="G16:G18"/>
    <mergeCell ref="B2:B3"/>
    <mergeCell ref="C2:C3"/>
    <mergeCell ref="D2:D3"/>
    <mergeCell ref="F2:F3"/>
  </mergeCell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6" workbookViewId="0">
      <selection activeCell="H7" sqref="H7"/>
    </sheetView>
  </sheetViews>
  <sheetFormatPr defaultRowHeight="15" x14ac:dyDescent="0.25"/>
  <cols>
    <col min="1" max="1" width="17.42578125" style="2" customWidth="1"/>
    <col min="2" max="2" width="9.140625" style="2"/>
    <col min="3" max="3" width="9.85546875" style="2" bestFit="1" customWidth="1"/>
    <col min="4" max="4" width="9.140625" style="2"/>
    <col min="5" max="5" width="10.28515625" style="2" customWidth="1"/>
    <col min="6" max="6" width="9.140625" style="2"/>
    <col min="7" max="7" width="9.28515625" style="2" customWidth="1"/>
    <col min="8" max="9" width="8.85546875" style="2" customWidth="1"/>
    <col min="10" max="16384" width="9.140625" style="2"/>
  </cols>
  <sheetData>
    <row r="1" spans="1:16" x14ac:dyDescent="0.2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1"/>
      <c r="M1" s="1"/>
      <c r="N1" s="1"/>
      <c r="O1" s="1"/>
      <c r="P1" s="1"/>
    </row>
    <row r="2" spans="1:16" x14ac:dyDescent="0.25">
      <c r="A2" s="3"/>
      <c r="B2" s="3"/>
      <c r="C2" s="17" t="s">
        <v>21</v>
      </c>
      <c r="D2" s="17"/>
      <c r="E2" s="17"/>
      <c r="F2" s="17"/>
      <c r="G2" s="17" t="s">
        <v>27</v>
      </c>
      <c r="H2" s="17"/>
      <c r="I2" s="17"/>
      <c r="J2" s="3"/>
    </row>
    <row r="3" spans="1:16" ht="15" customHeight="1" x14ac:dyDescent="0.25">
      <c r="A3" s="18" t="s">
        <v>0</v>
      </c>
      <c r="B3" s="17" t="s">
        <v>1</v>
      </c>
      <c r="C3" s="17" t="s">
        <v>22</v>
      </c>
      <c r="D3" s="17" t="s">
        <v>23</v>
      </c>
      <c r="E3" s="18" t="s">
        <v>24</v>
      </c>
      <c r="F3" s="17" t="s">
        <v>31</v>
      </c>
      <c r="G3" s="18" t="s">
        <v>25</v>
      </c>
      <c r="H3" s="18" t="s">
        <v>30</v>
      </c>
      <c r="I3" s="18" t="s">
        <v>29</v>
      </c>
      <c r="J3" s="18" t="s">
        <v>9</v>
      </c>
    </row>
    <row r="4" spans="1:16" ht="15" customHeight="1" x14ac:dyDescent="0.25">
      <c r="A4" s="18"/>
      <c r="B4" s="17"/>
      <c r="C4" s="17"/>
      <c r="D4" s="17"/>
      <c r="E4" s="18"/>
      <c r="F4" s="17"/>
      <c r="G4" s="18"/>
      <c r="H4" s="18"/>
      <c r="I4" s="18"/>
      <c r="J4" s="18"/>
    </row>
    <row r="5" spans="1:16" x14ac:dyDescent="0.25">
      <c r="A5" s="18"/>
      <c r="B5" s="3" t="s">
        <v>2</v>
      </c>
      <c r="C5" s="3" t="s">
        <v>4</v>
      </c>
      <c r="D5" s="3" t="s">
        <v>4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4</v>
      </c>
      <c r="J5" s="3" t="s">
        <v>4</v>
      </c>
    </row>
    <row r="6" spans="1:16" x14ac:dyDescent="0.25">
      <c r="A6" s="3">
        <v>0</v>
      </c>
      <c r="B6" s="3">
        <v>0</v>
      </c>
      <c r="C6" s="3">
        <v>0</v>
      </c>
      <c r="D6" s="3">
        <v>0</v>
      </c>
      <c r="E6" s="3">
        <v>0</v>
      </c>
      <c r="F6" s="3">
        <f t="shared" ref="F6:F11" si="0">C6+D6+E6</f>
        <v>0</v>
      </c>
      <c r="G6" s="3">
        <v>0</v>
      </c>
      <c r="H6" s="3">
        <v>0</v>
      </c>
      <c r="I6" s="3">
        <f t="shared" ref="I6:I11" si="1">G6+H6</f>
        <v>0</v>
      </c>
      <c r="J6" s="3">
        <f>LiveLoadAnalysis!H5</f>
        <v>0</v>
      </c>
    </row>
    <row r="7" spans="1:16" x14ac:dyDescent="0.25">
      <c r="A7" s="3" t="s">
        <v>10</v>
      </c>
      <c r="B7" s="3">
        <v>10.7</v>
      </c>
      <c r="C7" s="3">
        <v>582.20000000000005</v>
      </c>
      <c r="D7" s="3">
        <v>446.7</v>
      </c>
      <c r="E7" s="3">
        <v>66.3</v>
      </c>
      <c r="F7" s="3">
        <f t="shared" si="0"/>
        <v>1095.2</v>
      </c>
      <c r="G7" s="3">
        <v>180.3</v>
      </c>
      <c r="H7" s="3">
        <v>154.6</v>
      </c>
      <c r="I7" s="3">
        <f t="shared" si="1"/>
        <v>334.9</v>
      </c>
      <c r="J7" s="3">
        <f>LiveLoadAnalysis!H6</f>
        <v>813.78219999999999</v>
      </c>
    </row>
    <row r="8" spans="1:16" x14ac:dyDescent="0.25">
      <c r="A8" s="3" t="s">
        <v>11</v>
      </c>
      <c r="B8" s="3">
        <v>21.4</v>
      </c>
      <c r="C8" s="3">
        <v>1035</v>
      </c>
      <c r="D8" s="3">
        <v>794.1</v>
      </c>
      <c r="E8" s="3">
        <v>132.6</v>
      </c>
      <c r="F8" s="3">
        <f t="shared" si="0"/>
        <v>1961.6999999999998</v>
      </c>
      <c r="G8" s="3">
        <v>320.60000000000002</v>
      </c>
      <c r="H8" s="3">
        <v>274.8</v>
      </c>
      <c r="I8" s="3">
        <f t="shared" si="1"/>
        <v>595.40000000000009</v>
      </c>
      <c r="J8" s="3">
        <f>LiveLoadAnalysis!H7</f>
        <v>1432.7944399999999</v>
      </c>
    </row>
    <row r="9" spans="1:16" x14ac:dyDescent="0.25">
      <c r="A9" s="3" t="s">
        <v>12</v>
      </c>
      <c r="B9" s="3">
        <v>32.1</v>
      </c>
      <c r="C9" s="3">
        <v>1358.4</v>
      </c>
      <c r="D9" s="3">
        <v>1042.3</v>
      </c>
      <c r="E9" s="3">
        <v>176.8</v>
      </c>
      <c r="F9" s="3">
        <f t="shared" si="0"/>
        <v>2577.5</v>
      </c>
      <c r="G9" s="3">
        <v>420.8</v>
      </c>
      <c r="H9" s="3">
        <v>360.6</v>
      </c>
      <c r="I9" s="3">
        <f t="shared" si="1"/>
        <v>781.40000000000009</v>
      </c>
      <c r="J9" s="3">
        <f>LiveLoadAnalysis!H8</f>
        <v>1857.09944</v>
      </c>
    </row>
    <row r="10" spans="1:16" x14ac:dyDescent="0.25">
      <c r="A10" s="3" t="s">
        <v>13</v>
      </c>
      <c r="B10" s="3">
        <v>42.8</v>
      </c>
      <c r="C10" s="3">
        <v>1552.5</v>
      </c>
      <c r="D10" s="3">
        <v>1191.2</v>
      </c>
      <c r="E10" s="3">
        <v>198.9</v>
      </c>
      <c r="F10" s="3">
        <f t="shared" si="0"/>
        <v>2942.6</v>
      </c>
      <c r="G10" s="3">
        <v>480.9</v>
      </c>
      <c r="H10" s="3">
        <v>412.2</v>
      </c>
      <c r="I10" s="3">
        <f t="shared" si="1"/>
        <v>893.09999999999991</v>
      </c>
      <c r="J10" s="3">
        <f>LiveLoadAnalysis!H9</f>
        <v>2107.5305999999996</v>
      </c>
    </row>
    <row r="11" spans="1:16" x14ac:dyDescent="0.25">
      <c r="A11" s="3" t="s">
        <v>14</v>
      </c>
      <c r="B11" s="3">
        <v>53.5</v>
      </c>
      <c r="C11" s="3">
        <v>1617.2</v>
      </c>
      <c r="D11" s="3">
        <v>1240.8</v>
      </c>
      <c r="E11" s="3">
        <v>221</v>
      </c>
      <c r="F11" s="3">
        <f t="shared" si="0"/>
        <v>3079</v>
      </c>
      <c r="G11" s="3">
        <v>500.1</v>
      </c>
      <c r="H11" s="3">
        <v>429.3</v>
      </c>
      <c r="I11" s="3">
        <f t="shared" si="1"/>
        <v>929.40000000000009</v>
      </c>
      <c r="J11" s="3">
        <f>LiveLoadAnalysis!H10</f>
        <v>2171.7080000000001</v>
      </c>
    </row>
    <row r="15" spans="1:16" x14ac:dyDescent="0.25">
      <c r="A15" s="17" t="s">
        <v>28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6" x14ac:dyDescent="0.25">
      <c r="C16" s="17" t="s">
        <v>21</v>
      </c>
      <c r="D16" s="17"/>
      <c r="E16" s="17"/>
      <c r="F16" s="17"/>
      <c r="G16" s="17" t="s">
        <v>27</v>
      </c>
      <c r="H16" s="17"/>
      <c r="I16" s="17"/>
    </row>
    <row r="17" spans="1:10" x14ac:dyDescent="0.25">
      <c r="A17" s="18" t="s">
        <v>0</v>
      </c>
      <c r="B17" s="17" t="s">
        <v>1</v>
      </c>
      <c r="C17" s="17" t="s">
        <v>22</v>
      </c>
      <c r="D17" s="17" t="s">
        <v>23</v>
      </c>
      <c r="E17" s="18" t="s">
        <v>24</v>
      </c>
      <c r="F17" s="17" t="s">
        <v>31</v>
      </c>
      <c r="G17" s="18" t="s">
        <v>25</v>
      </c>
      <c r="H17" s="18" t="s">
        <v>26</v>
      </c>
      <c r="I17" s="18" t="s">
        <v>29</v>
      </c>
      <c r="J17" s="18" t="s">
        <v>9</v>
      </c>
    </row>
    <row r="18" spans="1:10" x14ac:dyDescent="0.25">
      <c r="A18" s="18"/>
      <c r="B18" s="17"/>
      <c r="C18" s="17"/>
      <c r="D18" s="17"/>
      <c r="E18" s="18"/>
      <c r="F18" s="17"/>
      <c r="G18" s="18"/>
      <c r="H18" s="18"/>
      <c r="I18" s="18"/>
      <c r="J18" s="18"/>
    </row>
    <row r="19" spans="1:10" x14ac:dyDescent="0.25">
      <c r="A19" s="18"/>
      <c r="B19" s="2" t="s">
        <v>2</v>
      </c>
      <c r="C19" s="2" t="s">
        <v>17</v>
      </c>
      <c r="D19" s="2" t="s">
        <v>17</v>
      </c>
      <c r="E19" s="2" t="s">
        <v>17</v>
      </c>
      <c r="F19" s="2" t="s">
        <v>17</v>
      </c>
      <c r="G19" s="2" t="s">
        <v>17</v>
      </c>
      <c r="H19" s="2" t="s">
        <v>17</v>
      </c>
      <c r="I19" s="2" t="s">
        <v>17</v>
      </c>
      <c r="J19" s="2" t="s">
        <v>17</v>
      </c>
    </row>
    <row r="20" spans="1:10" x14ac:dyDescent="0.25">
      <c r="A20" s="2">
        <v>0</v>
      </c>
      <c r="B20" s="2">
        <v>0</v>
      </c>
      <c r="C20" s="2">
        <v>60.454999999999998</v>
      </c>
      <c r="D20" s="2">
        <v>46.38</v>
      </c>
      <c r="E20" s="2">
        <v>6.1950000000000003</v>
      </c>
      <c r="F20" s="2">
        <f>C20+D20+E20</f>
        <v>113.03</v>
      </c>
      <c r="G20" s="2">
        <v>18.73</v>
      </c>
      <c r="H20" s="2">
        <v>16.100000000000001</v>
      </c>
      <c r="I20" s="2">
        <f>G20+H20</f>
        <v>34.83</v>
      </c>
      <c r="J20" s="2">
        <f>LiveLoadAnalysis!H19</f>
        <v>104.66268800000002</v>
      </c>
    </row>
    <row r="21" spans="1:10" x14ac:dyDescent="0.25">
      <c r="A21" s="2" t="s">
        <v>19</v>
      </c>
      <c r="B21" s="2">
        <v>3</v>
      </c>
      <c r="C21" s="2">
        <v>57.064999999999998</v>
      </c>
      <c r="D21" s="2">
        <v>43.8</v>
      </c>
      <c r="E21" s="2">
        <v>6.1950000000000003</v>
      </c>
      <c r="F21" s="2">
        <f>C21+D21+E21</f>
        <v>107.06</v>
      </c>
      <c r="G21" s="2">
        <v>17.7</v>
      </c>
      <c r="H21" s="2">
        <v>15.15</v>
      </c>
      <c r="I21" s="2">
        <f t="shared" ref="I21:I26" si="2">G21+H21</f>
        <v>32.85</v>
      </c>
      <c r="J21" s="2">
        <f>LiveLoadAnalysis!H20</f>
        <v>100.50648000000001</v>
      </c>
    </row>
    <row r="22" spans="1:10" x14ac:dyDescent="0.25">
      <c r="A22" s="2" t="s">
        <v>10</v>
      </c>
      <c r="B22" s="2">
        <v>10.7</v>
      </c>
      <c r="C22" s="2">
        <v>48.363999999999997</v>
      </c>
      <c r="D22" s="2">
        <v>37.1</v>
      </c>
      <c r="E22" s="2">
        <v>6.1950000000000003</v>
      </c>
      <c r="F22" s="2">
        <f t="shared" ref="F22:F26" si="3">C22+D22+E22</f>
        <v>91.658999999999992</v>
      </c>
      <c r="G22" s="2">
        <v>14.98</v>
      </c>
      <c r="H22" s="2">
        <v>12.8</v>
      </c>
      <c r="I22" s="2">
        <f t="shared" si="2"/>
        <v>27.78</v>
      </c>
      <c r="J22" s="2">
        <f>LiveLoadAnalysis!H21</f>
        <v>90.802928000000009</v>
      </c>
    </row>
    <row r="23" spans="1:10" x14ac:dyDescent="0.25">
      <c r="A23" s="2" t="s">
        <v>11</v>
      </c>
      <c r="B23" s="2">
        <v>21.4</v>
      </c>
      <c r="C23" s="2">
        <v>36.273000000000003</v>
      </c>
      <c r="D23" s="2">
        <v>27.83</v>
      </c>
      <c r="E23" s="2">
        <v>6.1950000000000003</v>
      </c>
      <c r="F23" s="2">
        <f t="shared" si="3"/>
        <v>70.298000000000002</v>
      </c>
      <c r="G23" s="2">
        <v>11.2</v>
      </c>
      <c r="H23" s="2">
        <v>9.6300000000000008</v>
      </c>
      <c r="I23" s="2">
        <f t="shared" si="2"/>
        <v>20.83</v>
      </c>
      <c r="J23" s="2">
        <f>LiveLoadAnalysis!H22</f>
        <v>77.488064000000008</v>
      </c>
    </row>
    <row r="24" spans="1:10" x14ac:dyDescent="0.25">
      <c r="A24" s="2" t="s">
        <v>12</v>
      </c>
      <c r="B24" s="2">
        <v>32.1</v>
      </c>
      <c r="C24" s="2">
        <v>24.181999999999999</v>
      </c>
      <c r="D24" s="2">
        <v>18.55</v>
      </c>
      <c r="E24" s="2">
        <v>2.0649999999999999</v>
      </c>
      <c r="F24" s="2">
        <f t="shared" si="3"/>
        <v>44.796999999999997</v>
      </c>
      <c r="G24" s="2">
        <v>7.5</v>
      </c>
      <c r="H24" s="2">
        <v>6.4</v>
      </c>
      <c r="I24" s="2">
        <f t="shared" si="2"/>
        <v>13.9</v>
      </c>
      <c r="J24" s="2">
        <f>LiveLoadAnalysis!H23</f>
        <v>64.941007999999997</v>
      </c>
    </row>
    <row r="25" spans="1:10" x14ac:dyDescent="0.25">
      <c r="A25" s="2" t="s">
        <v>13</v>
      </c>
      <c r="B25" s="2">
        <v>42.8</v>
      </c>
      <c r="C25" s="2">
        <v>12.090999999999999</v>
      </c>
      <c r="D25" s="2">
        <v>9.3000000000000007</v>
      </c>
      <c r="E25" s="2">
        <v>2.0649999999999999</v>
      </c>
      <c r="F25" s="2">
        <f t="shared" si="3"/>
        <v>23.456</v>
      </c>
      <c r="G25" s="2">
        <v>3.7</v>
      </c>
      <c r="H25" s="2">
        <v>3.2</v>
      </c>
      <c r="I25" s="2">
        <f t="shared" si="2"/>
        <v>6.9</v>
      </c>
      <c r="J25" s="2">
        <f>LiveLoadAnalysis!H24</f>
        <v>53.236064000000006</v>
      </c>
    </row>
    <row r="26" spans="1:10" x14ac:dyDescent="0.25">
      <c r="A26" s="2" t="s">
        <v>14</v>
      </c>
      <c r="B26" s="2">
        <v>53.5</v>
      </c>
      <c r="C26" s="2">
        <v>0</v>
      </c>
      <c r="D26" s="2">
        <v>0</v>
      </c>
      <c r="E26" s="2">
        <v>2.0649999999999999</v>
      </c>
      <c r="F26" s="2">
        <f t="shared" si="3"/>
        <v>2.0649999999999999</v>
      </c>
      <c r="G26" s="2">
        <v>0</v>
      </c>
      <c r="H26" s="2">
        <v>0</v>
      </c>
      <c r="I26" s="2">
        <f t="shared" si="2"/>
        <v>0</v>
      </c>
      <c r="J26" s="2">
        <f>LiveLoadAnalysis!H25</f>
        <v>41.401088000000001</v>
      </c>
    </row>
  </sheetData>
  <mergeCells count="26">
    <mergeCell ref="H17:H18"/>
    <mergeCell ref="J17:J18"/>
    <mergeCell ref="I17:I18"/>
    <mergeCell ref="A15:J15"/>
    <mergeCell ref="C16:F16"/>
    <mergeCell ref="A17:A19"/>
    <mergeCell ref="B17:B18"/>
    <mergeCell ref="C17:C18"/>
    <mergeCell ref="D17:D18"/>
    <mergeCell ref="E17:E18"/>
    <mergeCell ref="F17:F18"/>
    <mergeCell ref="G17:G18"/>
    <mergeCell ref="G16:I16"/>
    <mergeCell ref="A3:A5"/>
    <mergeCell ref="A1:J1"/>
    <mergeCell ref="J3:J4"/>
    <mergeCell ref="H3:H4"/>
    <mergeCell ref="G3:G4"/>
    <mergeCell ref="F3:F4"/>
    <mergeCell ref="I3:I4"/>
    <mergeCell ref="G2:I2"/>
    <mergeCell ref="E3:E4"/>
    <mergeCell ref="D3:D4"/>
    <mergeCell ref="C3:C4"/>
    <mergeCell ref="B3:B4"/>
    <mergeCell ref="C2:F2"/>
  </mergeCells>
  <pageMargins left="1" right="1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F11" sqref="F11"/>
    </sheetView>
  </sheetViews>
  <sheetFormatPr defaultRowHeight="15" x14ac:dyDescent="0.25"/>
  <cols>
    <col min="1" max="1" width="17.28515625" style="2" customWidth="1"/>
    <col min="2" max="4" width="9.140625" style="2"/>
    <col min="5" max="5" width="11" style="2" bestFit="1" customWidth="1"/>
    <col min="6" max="6" width="10" style="2" customWidth="1"/>
    <col min="7" max="7" width="9.5703125" style="2" bestFit="1" customWidth="1"/>
    <col min="8" max="8" width="10.5703125" style="2" bestFit="1" customWidth="1"/>
    <col min="9" max="9" width="9.5703125" style="2" bestFit="1" customWidth="1"/>
    <col min="10" max="10" width="10.5703125" style="2" bestFit="1" customWidth="1"/>
    <col min="11" max="16384" width="9.140625" style="2"/>
  </cols>
  <sheetData>
    <row r="1" spans="1:10" x14ac:dyDescent="0.25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8" t="s">
        <v>0</v>
      </c>
      <c r="B2" s="17" t="s">
        <v>1</v>
      </c>
      <c r="C2" s="17" t="s">
        <v>31</v>
      </c>
      <c r="D2" s="18" t="s">
        <v>29</v>
      </c>
      <c r="E2" s="18" t="s">
        <v>9</v>
      </c>
      <c r="F2" s="17" t="s">
        <v>33</v>
      </c>
      <c r="G2" s="17" t="s">
        <v>36</v>
      </c>
      <c r="H2" s="17"/>
      <c r="I2" s="17" t="s">
        <v>32</v>
      </c>
      <c r="J2" s="17"/>
    </row>
    <row r="3" spans="1:10" x14ac:dyDescent="0.25">
      <c r="A3" s="18"/>
      <c r="B3" s="17"/>
      <c r="C3" s="17"/>
      <c r="D3" s="18"/>
      <c r="E3" s="18"/>
      <c r="F3" s="17"/>
      <c r="G3" s="17"/>
      <c r="H3" s="17"/>
      <c r="I3" s="17"/>
      <c r="J3" s="17"/>
    </row>
    <row r="4" spans="1:10" x14ac:dyDescent="0.25">
      <c r="A4" s="18"/>
      <c r="B4" s="17"/>
      <c r="C4" s="17"/>
      <c r="D4" s="18"/>
      <c r="E4" s="18"/>
      <c r="F4" s="17"/>
      <c r="G4" s="2" t="s">
        <v>34</v>
      </c>
      <c r="H4" s="2" t="s">
        <v>27</v>
      </c>
      <c r="I4" s="2" t="s">
        <v>34</v>
      </c>
      <c r="J4" s="2" t="s">
        <v>27</v>
      </c>
    </row>
    <row r="5" spans="1:10" x14ac:dyDescent="0.25">
      <c r="A5" s="18"/>
      <c r="B5" s="2" t="s">
        <v>2</v>
      </c>
      <c r="C5" s="2" t="s">
        <v>4</v>
      </c>
      <c r="D5" s="2" t="s">
        <v>4</v>
      </c>
      <c r="E5" s="2" t="s">
        <v>4</v>
      </c>
      <c r="F5" s="2" t="s">
        <v>4</v>
      </c>
      <c r="G5" s="2" t="s">
        <v>4</v>
      </c>
      <c r="H5" s="2" t="s">
        <v>4</v>
      </c>
      <c r="I5" s="2" t="s">
        <v>4</v>
      </c>
      <c r="J5" s="2" t="s">
        <v>4</v>
      </c>
    </row>
    <row r="6" spans="1:10" x14ac:dyDescent="0.25">
      <c r="A6" s="2">
        <v>0</v>
      </c>
      <c r="B6" s="2">
        <v>0</v>
      </c>
      <c r="C6" s="2">
        <f>UnfactoredLoadAnalysis!F6</f>
        <v>0</v>
      </c>
      <c r="D6" s="2">
        <f>UnfactoredLoadAnalysis!I6</f>
        <v>0</v>
      </c>
      <c r="E6" s="2">
        <f>UnfactoredLoadAnalysis!J6</f>
        <v>0</v>
      </c>
      <c r="F6" s="2">
        <f>1.25*C6+1.5*D6+1.75*E6</f>
        <v>0</v>
      </c>
      <c r="G6" s="2">
        <f>C6</f>
        <v>0</v>
      </c>
      <c r="H6" s="2">
        <f>D6+E6</f>
        <v>0</v>
      </c>
      <c r="I6" s="2">
        <f>C6</f>
        <v>0</v>
      </c>
      <c r="J6" s="2">
        <f>D6+0.8*E6</f>
        <v>0</v>
      </c>
    </row>
    <row r="7" spans="1:10" x14ac:dyDescent="0.25">
      <c r="A7" s="2" t="s">
        <v>10</v>
      </c>
      <c r="B7" s="2">
        <v>10.7</v>
      </c>
      <c r="C7" s="2">
        <f>UnfactoredLoadAnalysis!F7</f>
        <v>1095.2</v>
      </c>
      <c r="D7" s="2">
        <f>UnfactoredLoadAnalysis!I7</f>
        <v>334.9</v>
      </c>
      <c r="E7" s="2">
        <f>UnfactoredLoadAnalysis!J7</f>
        <v>813.78219999999999</v>
      </c>
      <c r="F7" s="2">
        <f>1.25*C7+1.5*D7+1.75*E7</f>
        <v>3295.4688500000002</v>
      </c>
      <c r="G7" s="2">
        <f t="shared" ref="G7:G11" si="0">C7</f>
        <v>1095.2</v>
      </c>
      <c r="H7" s="2">
        <f>D7+E7</f>
        <v>1148.6822</v>
      </c>
      <c r="I7" s="2">
        <f t="shared" ref="I7:I11" si="1">C7</f>
        <v>1095.2</v>
      </c>
      <c r="J7" s="2">
        <f t="shared" ref="J7:J11" si="2">D7+0.8*E7</f>
        <v>985.92575999999997</v>
      </c>
    </row>
    <row r="8" spans="1:10" x14ac:dyDescent="0.25">
      <c r="A8" s="2" t="s">
        <v>11</v>
      </c>
      <c r="B8" s="2">
        <v>21.4</v>
      </c>
      <c r="C8" s="2">
        <f>UnfactoredLoadAnalysis!F8</f>
        <v>1961.6999999999998</v>
      </c>
      <c r="D8" s="2">
        <f>UnfactoredLoadAnalysis!I8</f>
        <v>595.40000000000009</v>
      </c>
      <c r="E8" s="2">
        <f>UnfactoredLoadAnalysis!J8</f>
        <v>1432.7944399999999</v>
      </c>
      <c r="F8" s="2">
        <f t="shared" ref="F8:F11" si="3">1.25*C8+1.5*D8+1.75*E8</f>
        <v>5852.6152700000002</v>
      </c>
      <c r="G8" s="2">
        <f t="shared" si="0"/>
        <v>1961.6999999999998</v>
      </c>
      <c r="H8" s="2">
        <f t="shared" ref="H8:H11" si="4">D8+E8</f>
        <v>2028.19444</v>
      </c>
      <c r="I8" s="2">
        <f t="shared" si="1"/>
        <v>1961.6999999999998</v>
      </c>
      <c r="J8" s="2">
        <f t="shared" si="2"/>
        <v>1741.635552</v>
      </c>
    </row>
    <row r="9" spans="1:10" x14ac:dyDescent="0.25">
      <c r="A9" s="2" t="s">
        <v>12</v>
      </c>
      <c r="B9" s="2">
        <v>32.1</v>
      </c>
      <c r="C9" s="2">
        <f>UnfactoredLoadAnalysis!F9</f>
        <v>2577.5</v>
      </c>
      <c r="D9" s="2">
        <f>UnfactoredLoadAnalysis!I9</f>
        <v>781.40000000000009</v>
      </c>
      <c r="E9" s="2">
        <f>UnfactoredLoadAnalysis!J9</f>
        <v>1857.09944</v>
      </c>
      <c r="F9" s="2">
        <f t="shared" si="3"/>
        <v>7643.8990200000007</v>
      </c>
      <c r="G9" s="2">
        <f t="shared" si="0"/>
        <v>2577.5</v>
      </c>
      <c r="H9" s="2">
        <f t="shared" si="4"/>
        <v>2638.49944</v>
      </c>
      <c r="I9" s="2">
        <f t="shared" si="1"/>
        <v>2577.5</v>
      </c>
      <c r="J9" s="2">
        <f t="shared" si="2"/>
        <v>2267.0795520000001</v>
      </c>
    </row>
    <row r="10" spans="1:10" x14ac:dyDescent="0.25">
      <c r="A10" s="2" t="s">
        <v>13</v>
      </c>
      <c r="B10" s="2">
        <v>42.8</v>
      </c>
      <c r="C10" s="2">
        <f>UnfactoredLoadAnalysis!F10</f>
        <v>2942.6</v>
      </c>
      <c r="D10" s="2">
        <f>UnfactoredLoadAnalysis!I10</f>
        <v>893.09999999999991</v>
      </c>
      <c r="E10" s="2">
        <f>UnfactoredLoadAnalysis!J10</f>
        <v>2107.5305999999996</v>
      </c>
      <c r="F10" s="2">
        <f t="shared" si="3"/>
        <v>8706.0785499999984</v>
      </c>
      <c r="G10" s="2">
        <f t="shared" si="0"/>
        <v>2942.6</v>
      </c>
      <c r="H10" s="2">
        <f t="shared" si="4"/>
        <v>3000.6305999999995</v>
      </c>
      <c r="I10" s="2">
        <f t="shared" si="1"/>
        <v>2942.6</v>
      </c>
      <c r="J10" s="2">
        <f t="shared" si="2"/>
        <v>2579.1244799999995</v>
      </c>
    </row>
    <row r="11" spans="1:10" x14ac:dyDescent="0.25">
      <c r="A11" s="2" t="s">
        <v>14</v>
      </c>
      <c r="B11" s="2">
        <v>53.5</v>
      </c>
      <c r="C11" s="2">
        <f>UnfactoredLoadAnalysis!F11</f>
        <v>3079</v>
      </c>
      <c r="D11" s="2">
        <f>UnfactoredLoadAnalysis!I11</f>
        <v>929.40000000000009</v>
      </c>
      <c r="E11" s="2">
        <f>UnfactoredLoadAnalysis!J11</f>
        <v>2171.7080000000001</v>
      </c>
      <c r="F11" s="2">
        <f t="shared" si="3"/>
        <v>9043.3389999999999</v>
      </c>
      <c r="G11" s="2">
        <f t="shared" si="0"/>
        <v>3079</v>
      </c>
      <c r="H11" s="2">
        <f t="shared" si="4"/>
        <v>3101.1080000000002</v>
      </c>
      <c r="I11" s="2">
        <f t="shared" si="1"/>
        <v>3079</v>
      </c>
      <c r="J11" s="2">
        <f t="shared" si="2"/>
        <v>2666.7664000000004</v>
      </c>
    </row>
    <row r="15" spans="1:10" x14ac:dyDescent="0.25">
      <c r="A15" s="17" t="s">
        <v>35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 s="18" t="s">
        <v>0</v>
      </c>
      <c r="B16" s="17" t="s">
        <v>1</v>
      </c>
      <c r="C16" s="17" t="s">
        <v>31</v>
      </c>
      <c r="D16" s="18" t="s">
        <v>29</v>
      </c>
      <c r="E16" s="18" t="s">
        <v>9</v>
      </c>
      <c r="F16" s="17" t="s">
        <v>33</v>
      </c>
      <c r="G16" s="17" t="s">
        <v>36</v>
      </c>
      <c r="H16" s="17"/>
      <c r="I16" s="17" t="s">
        <v>32</v>
      </c>
      <c r="J16" s="17"/>
    </row>
    <row r="17" spans="1:10" x14ac:dyDescent="0.25">
      <c r="A17" s="18"/>
      <c r="B17" s="17"/>
      <c r="C17" s="17"/>
      <c r="D17" s="18"/>
      <c r="E17" s="18"/>
      <c r="F17" s="17"/>
      <c r="G17" s="17"/>
      <c r="H17" s="17"/>
      <c r="I17" s="17"/>
      <c r="J17" s="17"/>
    </row>
    <row r="18" spans="1:10" x14ac:dyDescent="0.25">
      <c r="A18" s="18"/>
      <c r="B18" s="17"/>
      <c r="C18" s="17"/>
      <c r="D18" s="18"/>
      <c r="E18" s="18"/>
      <c r="F18" s="17"/>
      <c r="G18" s="2" t="s">
        <v>34</v>
      </c>
      <c r="H18" s="2" t="s">
        <v>27</v>
      </c>
      <c r="I18" s="2" t="s">
        <v>34</v>
      </c>
      <c r="J18" s="2" t="s">
        <v>27</v>
      </c>
    </row>
    <row r="19" spans="1:10" x14ac:dyDescent="0.25">
      <c r="A19" s="18"/>
      <c r="B19" s="2" t="s">
        <v>2</v>
      </c>
      <c r="C19" s="2" t="s">
        <v>17</v>
      </c>
      <c r="D19" s="2" t="s">
        <v>17</v>
      </c>
      <c r="E19" s="2" t="s">
        <v>17</v>
      </c>
      <c r="F19" s="2" t="s">
        <v>17</v>
      </c>
      <c r="G19" s="2" t="s">
        <v>17</v>
      </c>
      <c r="H19" s="2" t="s">
        <v>17</v>
      </c>
      <c r="I19" s="2" t="s">
        <v>17</v>
      </c>
      <c r="J19" s="2" t="s">
        <v>17</v>
      </c>
    </row>
    <row r="20" spans="1:10" x14ac:dyDescent="0.25">
      <c r="A20" s="2">
        <v>0</v>
      </c>
      <c r="B20" s="2">
        <v>0</v>
      </c>
      <c r="C20" s="2">
        <f>UnfactoredLoadAnalysis!F20</f>
        <v>113.03</v>
      </c>
      <c r="D20" s="2">
        <f>UnfactoredLoadAnalysis!I20</f>
        <v>34.83</v>
      </c>
      <c r="E20" s="2">
        <f>UnfactoredLoadAnalysis!J20</f>
        <v>104.66268800000002</v>
      </c>
      <c r="F20" s="2">
        <f>1.25*C20+1.5*D20+1.75*E20</f>
        <v>376.69220400000006</v>
      </c>
      <c r="G20" s="2">
        <f>C20</f>
        <v>113.03</v>
      </c>
      <c r="H20" s="2">
        <f>D20+E20</f>
        <v>139.49268800000002</v>
      </c>
      <c r="I20" s="2">
        <f>C20</f>
        <v>113.03</v>
      </c>
      <c r="J20" s="2">
        <f>D20+0.8*E20</f>
        <v>118.56015040000001</v>
      </c>
    </row>
    <row r="21" spans="1:10" x14ac:dyDescent="0.25">
      <c r="A21" s="2" t="s">
        <v>19</v>
      </c>
      <c r="B21" s="2">
        <v>3</v>
      </c>
      <c r="C21" s="2">
        <f>UnfactoredLoadAnalysis!F21</f>
        <v>107.06</v>
      </c>
      <c r="D21" s="2">
        <f>UnfactoredLoadAnalysis!I21</f>
        <v>32.85</v>
      </c>
      <c r="E21" s="2">
        <f>UnfactoredLoadAnalysis!J21</f>
        <v>100.50648000000001</v>
      </c>
      <c r="F21" s="2">
        <f>1.25*C21+1.5*D21+1.75*E21</f>
        <v>358.98634000000004</v>
      </c>
      <c r="G21" s="2">
        <f>C21</f>
        <v>107.06</v>
      </c>
      <c r="H21" s="2">
        <f t="shared" ref="H21:H22" si="5">D21+E21</f>
        <v>133.35648</v>
      </c>
      <c r="I21" s="2">
        <f t="shared" ref="I21:I24" si="6">C21</f>
        <v>107.06</v>
      </c>
      <c r="J21" s="2">
        <f t="shared" ref="J21:J23" si="7">D21+0.8*E21</f>
        <v>113.25518400000001</v>
      </c>
    </row>
    <row r="22" spans="1:10" x14ac:dyDescent="0.25">
      <c r="A22" s="2" t="s">
        <v>10</v>
      </c>
      <c r="B22" s="2">
        <v>10.7</v>
      </c>
      <c r="C22" s="2">
        <f>UnfactoredLoadAnalysis!F22</f>
        <v>91.658999999999992</v>
      </c>
      <c r="D22" s="2">
        <f>UnfactoredLoadAnalysis!I22</f>
        <v>27.78</v>
      </c>
      <c r="E22" s="2">
        <f>UnfactoredLoadAnalysis!J22</f>
        <v>90.802928000000009</v>
      </c>
      <c r="F22" s="2">
        <f t="shared" ref="F22:F26" si="8">1.25*C22+1.5*D22+1.75*E22</f>
        <v>315.14887399999998</v>
      </c>
      <c r="G22" s="2">
        <f t="shared" ref="G22:G26" si="9">C22</f>
        <v>91.658999999999992</v>
      </c>
      <c r="H22" s="2">
        <f t="shared" si="5"/>
        <v>118.58292800000001</v>
      </c>
      <c r="I22" s="2">
        <f t="shared" si="6"/>
        <v>91.658999999999992</v>
      </c>
      <c r="J22" s="2">
        <f t="shared" si="7"/>
        <v>100.42234240000001</v>
      </c>
    </row>
    <row r="23" spans="1:10" x14ac:dyDescent="0.25">
      <c r="A23" s="2" t="s">
        <v>11</v>
      </c>
      <c r="B23" s="2">
        <v>21.4</v>
      </c>
      <c r="C23" s="2">
        <f>UnfactoredLoadAnalysis!F23</f>
        <v>70.298000000000002</v>
      </c>
      <c r="D23" s="2">
        <f>UnfactoredLoadAnalysis!I23</f>
        <v>20.83</v>
      </c>
      <c r="E23" s="2">
        <f>UnfactoredLoadAnalysis!J23</f>
        <v>77.488064000000008</v>
      </c>
      <c r="F23" s="2">
        <f t="shared" si="8"/>
        <v>254.72161200000002</v>
      </c>
      <c r="G23" s="2">
        <f t="shared" si="9"/>
        <v>70.298000000000002</v>
      </c>
      <c r="H23" s="2">
        <f t="shared" ref="H23:H26" si="10">D23+E23</f>
        <v>98.318064000000007</v>
      </c>
      <c r="I23" s="2">
        <f t="shared" si="6"/>
        <v>70.298000000000002</v>
      </c>
      <c r="J23" s="2">
        <f t="shared" si="7"/>
        <v>82.820451200000008</v>
      </c>
    </row>
    <row r="24" spans="1:10" x14ac:dyDescent="0.25">
      <c r="A24" s="2" t="s">
        <v>12</v>
      </c>
      <c r="B24" s="2">
        <v>32.1</v>
      </c>
      <c r="C24" s="2">
        <f>UnfactoredLoadAnalysis!F24</f>
        <v>44.796999999999997</v>
      </c>
      <c r="D24" s="2">
        <f>UnfactoredLoadAnalysis!I24</f>
        <v>13.9</v>
      </c>
      <c r="E24" s="2">
        <f>UnfactoredLoadAnalysis!J24</f>
        <v>64.941007999999997</v>
      </c>
      <c r="F24" s="2">
        <f t="shared" si="8"/>
        <v>190.49301399999999</v>
      </c>
      <c r="G24" s="2">
        <f t="shared" si="9"/>
        <v>44.796999999999997</v>
      </c>
      <c r="H24" s="2">
        <f t="shared" si="10"/>
        <v>78.841008000000002</v>
      </c>
      <c r="I24" s="2">
        <f t="shared" si="6"/>
        <v>44.796999999999997</v>
      </c>
      <c r="J24" s="2">
        <f t="shared" ref="J24:J26" si="11">D24+0.8*E24</f>
        <v>65.852806400000006</v>
      </c>
    </row>
    <row r="25" spans="1:10" x14ac:dyDescent="0.25">
      <c r="A25" s="2" t="s">
        <v>13</v>
      </c>
      <c r="B25" s="2">
        <v>42.8</v>
      </c>
      <c r="C25" s="2">
        <f>UnfactoredLoadAnalysis!F25</f>
        <v>23.456</v>
      </c>
      <c r="D25" s="2">
        <f>UnfactoredLoadAnalysis!I25</f>
        <v>6.9</v>
      </c>
      <c r="E25" s="2">
        <f>UnfactoredLoadAnalysis!J25</f>
        <v>53.236064000000006</v>
      </c>
      <c r="F25" s="2">
        <f t="shared" si="8"/>
        <v>132.83311200000003</v>
      </c>
      <c r="G25" s="2">
        <f t="shared" si="9"/>
        <v>23.456</v>
      </c>
      <c r="H25" s="2">
        <f t="shared" si="10"/>
        <v>60.136064000000005</v>
      </c>
      <c r="I25" s="2">
        <f t="shared" ref="I25:I26" si="12">C25</f>
        <v>23.456</v>
      </c>
      <c r="J25" s="2">
        <f t="shared" si="11"/>
        <v>49.488851200000006</v>
      </c>
    </row>
    <row r="26" spans="1:10" x14ac:dyDescent="0.25">
      <c r="A26" s="2" t="s">
        <v>14</v>
      </c>
      <c r="B26" s="2">
        <v>53.5</v>
      </c>
      <c r="C26" s="2">
        <f>UnfactoredLoadAnalysis!F26</f>
        <v>2.0649999999999999</v>
      </c>
      <c r="D26" s="2">
        <f>UnfactoredLoadAnalysis!I26</f>
        <v>0</v>
      </c>
      <c r="E26" s="2">
        <f>UnfactoredLoadAnalysis!J26</f>
        <v>41.401088000000001</v>
      </c>
      <c r="F26" s="2">
        <f t="shared" si="8"/>
        <v>75.033153999999996</v>
      </c>
      <c r="G26" s="2">
        <f t="shared" si="9"/>
        <v>2.0649999999999999</v>
      </c>
      <c r="H26" s="2">
        <f t="shared" si="10"/>
        <v>41.401088000000001</v>
      </c>
      <c r="I26" s="2">
        <f t="shared" si="12"/>
        <v>2.0649999999999999</v>
      </c>
      <c r="J26" s="2">
        <f t="shared" si="11"/>
        <v>33.120870400000001</v>
      </c>
    </row>
  </sheetData>
  <mergeCells count="18">
    <mergeCell ref="A1:J1"/>
    <mergeCell ref="A2:A5"/>
    <mergeCell ref="B2:B4"/>
    <mergeCell ref="C2:C4"/>
    <mergeCell ref="D2:D4"/>
    <mergeCell ref="E2:E4"/>
    <mergeCell ref="F2:F4"/>
    <mergeCell ref="G16:H17"/>
    <mergeCell ref="I16:J17"/>
    <mergeCell ref="G2:H3"/>
    <mergeCell ref="I2:J3"/>
    <mergeCell ref="A15:J15"/>
    <mergeCell ref="A16:A19"/>
    <mergeCell ref="B16:B18"/>
    <mergeCell ref="C16:C18"/>
    <mergeCell ref="D16:D18"/>
    <mergeCell ref="E16:E18"/>
    <mergeCell ref="F16:F18"/>
  </mergeCells>
  <pageMargins left="1" right="1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" zoomScaleNormal="100" workbookViewId="0">
      <selection activeCell="N7" sqref="N7"/>
    </sheetView>
  </sheetViews>
  <sheetFormatPr defaultRowHeight="15" x14ac:dyDescent="0.25"/>
  <cols>
    <col min="1" max="1" width="12.140625" customWidth="1"/>
    <col min="2" max="2" width="8.5703125" bestFit="1" customWidth="1"/>
    <col min="3" max="3" width="13.5703125" bestFit="1" customWidth="1"/>
    <col min="4" max="4" width="21.140625" bestFit="1" customWidth="1"/>
    <col min="5" max="5" width="8.5703125" bestFit="1" customWidth="1"/>
    <col min="6" max="6" width="6.5703125" bestFit="1" customWidth="1"/>
    <col min="7" max="7" width="8.7109375" bestFit="1" customWidth="1"/>
    <col min="8" max="8" width="13.42578125" bestFit="1" customWidth="1"/>
    <col min="9" max="9" width="7.5703125" bestFit="1" customWidth="1"/>
    <col min="10" max="10" width="8.140625" bestFit="1" customWidth="1"/>
    <col min="11" max="11" width="19.28515625" bestFit="1" customWidth="1"/>
    <col min="12" max="12" width="19" customWidth="1"/>
    <col min="13" max="13" width="19" bestFit="1" customWidth="1"/>
    <col min="14" max="14" width="9.85546875" bestFit="1" customWidth="1"/>
    <col min="15" max="15" width="8.5703125" bestFit="1" customWidth="1"/>
    <col min="16" max="16" width="10.85546875" customWidth="1"/>
  </cols>
  <sheetData>
    <row r="1" spans="1:15" x14ac:dyDescent="0.25">
      <c r="A1" t="s">
        <v>72</v>
      </c>
      <c r="B1">
        <v>8</v>
      </c>
      <c r="D1" s="13" t="s">
        <v>98</v>
      </c>
      <c r="E1" s="14">
        <v>1103</v>
      </c>
    </row>
    <row r="2" spans="1:15" x14ac:dyDescent="0.25">
      <c r="A2" t="s">
        <v>87</v>
      </c>
      <c r="B2">
        <v>79.5</v>
      </c>
      <c r="D2" s="13" t="s">
        <v>96</v>
      </c>
      <c r="E2" s="14">
        <v>1085</v>
      </c>
    </row>
    <row r="3" spans="1:15" x14ac:dyDescent="0.25">
      <c r="A3" t="s">
        <v>74</v>
      </c>
      <c r="B3">
        <v>6</v>
      </c>
      <c r="D3" s="13" t="s">
        <v>97</v>
      </c>
      <c r="E3" s="14">
        <v>1765</v>
      </c>
    </row>
    <row r="4" spans="1:15" x14ac:dyDescent="0.25">
      <c r="A4" t="s">
        <v>78</v>
      </c>
      <c r="B4">
        <v>270</v>
      </c>
      <c r="D4" s="13" t="s">
        <v>94</v>
      </c>
      <c r="E4" s="14">
        <f>E1/E3</f>
        <v>0.62492917847025498</v>
      </c>
    </row>
    <row r="5" spans="1:15" x14ac:dyDescent="0.25">
      <c r="A5" t="s">
        <v>110</v>
      </c>
      <c r="B5">
        <v>60</v>
      </c>
      <c r="D5" s="13" t="s">
        <v>82</v>
      </c>
      <c r="E5" s="14">
        <v>0.28000000000000003</v>
      </c>
    </row>
    <row r="6" spans="1:15" x14ac:dyDescent="0.25">
      <c r="A6" t="s">
        <v>85</v>
      </c>
      <c r="B6">
        <v>6.43</v>
      </c>
      <c r="D6" s="13" t="s">
        <v>102</v>
      </c>
      <c r="E6" s="14">
        <v>26972.44</v>
      </c>
    </row>
    <row r="7" spans="1:15" x14ac:dyDescent="0.25">
      <c r="A7" t="s">
        <v>81</v>
      </c>
      <c r="B7">
        <v>85</v>
      </c>
      <c r="D7" s="13" t="s">
        <v>99</v>
      </c>
      <c r="E7" s="14">
        <v>20157.23</v>
      </c>
    </row>
    <row r="8" spans="1:15" x14ac:dyDescent="0.25">
      <c r="A8" s="13" t="s">
        <v>77</v>
      </c>
      <c r="B8">
        <v>0.75</v>
      </c>
      <c r="D8" s="13" t="s">
        <v>103</v>
      </c>
      <c r="E8" s="14">
        <f>0.19*SQRT(B3)</f>
        <v>0.46540305112880381</v>
      </c>
    </row>
    <row r="9" spans="1:15" x14ac:dyDescent="0.25">
      <c r="A9" s="13"/>
      <c r="D9" s="13"/>
    </row>
    <row r="10" spans="1:15" x14ac:dyDescent="0.25">
      <c r="A10" s="18" t="s">
        <v>0</v>
      </c>
      <c r="B10" s="17" t="s">
        <v>1</v>
      </c>
      <c r="C10" s="17" t="s">
        <v>43</v>
      </c>
      <c r="D10" s="17" t="s">
        <v>75</v>
      </c>
      <c r="E10" s="17" t="s">
        <v>79</v>
      </c>
      <c r="F10" s="17" t="s">
        <v>83</v>
      </c>
      <c r="G10" s="17" t="s">
        <v>86</v>
      </c>
      <c r="H10" s="17" t="s">
        <v>84</v>
      </c>
      <c r="I10" s="17" t="s">
        <v>121</v>
      </c>
      <c r="J10" s="17" t="s">
        <v>122</v>
      </c>
      <c r="K10" s="17" t="s">
        <v>123</v>
      </c>
      <c r="L10" s="17" t="s">
        <v>88</v>
      </c>
      <c r="M10" s="17" t="s">
        <v>124</v>
      </c>
      <c r="N10" s="17" t="s">
        <v>76</v>
      </c>
      <c r="O10" s="17" t="s">
        <v>92</v>
      </c>
    </row>
    <row r="11" spans="1:15" x14ac:dyDescent="0.25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s="12" customFormat="1" x14ac:dyDescent="0.25">
      <c r="A12" s="18"/>
      <c r="B12" s="11" t="s">
        <v>2</v>
      </c>
      <c r="C12" s="12" t="s">
        <v>44</v>
      </c>
      <c r="D12" s="12" t="s">
        <v>44</v>
      </c>
      <c r="E12" s="12" t="s">
        <v>80</v>
      </c>
      <c r="F12" s="12" t="s">
        <v>44</v>
      </c>
      <c r="G12" s="12" t="s">
        <v>48</v>
      </c>
      <c r="H12" s="12" t="s">
        <v>4</v>
      </c>
      <c r="I12" s="12" t="s">
        <v>44</v>
      </c>
      <c r="J12" s="12" t="s">
        <v>44</v>
      </c>
      <c r="K12" s="11" t="s">
        <v>44</v>
      </c>
      <c r="L12" s="12" t="s">
        <v>44</v>
      </c>
      <c r="M12" s="12" t="s">
        <v>17</v>
      </c>
      <c r="N12" s="12" t="s">
        <v>17</v>
      </c>
    </row>
    <row r="13" spans="1:15" x14ac:dyDescent="0.25">
      <c r="A13" s="11">
        <v>0</v>
      </c>
      <c r="B13" s="11">
        <v>0</v>
      </c>
      <c r="C13">
        <f>StressCheckofGirderOnly!C10</f>
        <v>0</v>
      </c>
      <c r="D13">
        <f t="shared" ref="D13:D19" si="0">43.12+C13</f>
        <v>43.12</v>
      </c>
      <c r="E13" s="14">
        <f>(B6*B4)/(0.85*B3*B8*B7+E5*B6*(B4/D13))</f>
        <v>5.160845356705436</v>
      </c>
      <c r="F13" s="14">
        <f>B8*E13</f>
        <v>3.8706340175290768</v>
      </c>
      <c r="G13" s="14">
        <f>B4*(1-E5*E13/D13)</f>
        <v>260.95176463434763</v>
      </c>
      <c r="H13" s="14">
        <f>B6*G13*(D13-F13/2)/12</f>
        <v>5758.716413906357</v>
      </c>
      <c r="I13" s="14">
        <f>0.9*D13</f>
        <v>38.808</v>
      </c>
      <c r="J13" s="19">
        <f>0.72*B2</f>
        <v>57.239999999999995</v>
      </c>
      <c r="K13" s="14">
        <f>H13*12/(B6*G13)</f>
        <v>41.184682991235462</v>
      </c>
      <c r="L13" s="14">
        <f>MAX(K13,MAX(I13,J13))</f>
        <v>57.239999999999995</v>
      </c>
      <c r="M13" s="14">
        <f>0.18*B3*B1*L13</f>
        <v>494.55359999999996</v>
      </c>
      <c r="N13" s="14">
        <f>FactoredLoadCombination!F20</f>
        <v>376.69220400000006</v>
      </c>
      <c r="O13" t="s">
        <v>93</v>
      </c>
    </row>
    <row r="14" spans="1:15" x14ac:dyDescent="0.25">
      <c r="A14" s="11" t="s">
        <v>19</v>
      </c>
      <c r="B14" s="11">
        <v>3</v>
      </c>
      <c r="C14">
        <v>3.14</v>
      </c>
      <c r="D14">
        <f t="shared" si="0"/>
        <v>46.26</v>
      </c>
      <c r="E14" s="14">
        <f>(B6*B4)/(0.85*B3*B8*B7+E5*B6*(B4/D14))</f>
        <v>5.1726114965355272</v>
      </c>
      <c r="F14" s="14">
        <f>B8*E14</f>
        <v>3.8794586224016454</v>
      </c>
      <c r="G14" s="14">
        <f>B4*(1-E5*E14/D14)</f>
        <v>261.54670494729601</v>
      </c>
      <c r="H14" s="14">
        <f>B6*G14*(D14-F14/2)/12</f>
        <v>6211.2839577839832</v>
      </c>
      <c r="I14" s="14">
        <f t="shared" ref="I14:I19" si="1">0.9*D14</f>
        <v>41.634</v>
      </c>
      <c r="J14" s="19"/>
      <c r="K14" s="14">
        <f>H14*12/(B6*G14)</f>
        <v>44.320270688799184</v>
      </c>
      <c r="L14" s="14">
        <f>MAX(K14,MAX(I14,J13))</f>
        <v>57.239999999999995</v>
      </c>
      <c r="M14" s="14">
        <f>0.18*B3*B1*L14</f>
        <v>494.55359999999996</v>
      </c>
      <c r="N14" s="14">
        <f>FactoredLoadCombination!F21</f>
        <v>358.98634000000004</v>
      </c>
      <c r="O14" t="s">
        <v>93</v>
      </c>
    </row>
    <row r="15" spans="1:15" x14ac:dyDescent="0.25">
      <c r="A15" s="11" t="s">
        <v>10</v>
      </c>
      <c r="B15" s="11">
        <v>10.7</v>
      </c>
      <c r="C15">
        <f>StressCheckofGirderOnly!C11</f>
        <v>10.39</v>
      </c>
      <c r="D15">
        <f t="shared" si="0"/>
        <v>53.51</v>
      </c>
      <c r="E15" s="14">
        <f>(B6*B4)/(0.85*B3*B8*B7+E5*B6*(B4/D15))</f>
        <v>5.1946469175640448</v>
      </c>
      <c r="F15" s="14">
        <f>B8*E15</f>
        <v>3.8959851881730336</v>
      </c>
      <c r="G15" s="14">
        <f>B4*(1-E5*E15/D15)</f>
        <v>262.66089876718667</v>
      </c>
      <c r="H15" s="14">
        <f>B6*G15*(D15-F15/2)/12</f>
        <v>7256.9640186733986</v>
      </c>
      <c r="I15" s="14">
        <f t="shared" si="1"/>
        <v>48.158999999999999</v>
      </c>
      <c r="J15" s="19"/>
      <c r="K15" s="14">
        <f>H15*12/(B6*G15)</f>
        <v>51.562007405913484</v>
      </c>
      <c r="L15" s="14">
        <f>MAX(K15,MAX(I15,J13))</f>
        <v>57.239999999999995</v>
      </c>
      <c r="M15" s="14">
        <f>0.18*B3*B1*L15</f>
        <v>494.55359999999996</v>
      </c>
      <c r="N15" s="14">
        <f>FactoredLoadCombination!F22</f>
        <v>315.14887399999998</v>
      </c>
      <c r="O15" t="s">
        <v>93</v>
      </c>
    </row>
    <row r="16" spans="1:15" x14ac:dyDescent="0.25">
      <c r="A16" s="11" t="s">
        <v>11</v>
      </c>
      <c r="B16" s="11">
        <v>21.4</v>
      </c>
      <c r="C16">
        <f>StressCheckofGirderOnly!C12</f>
        <v>18.43</v>
      </c>
      <c r="D16">
        <f t="shared" si="0"/>
        <v>61.55</v>
      </c>
      <c r="E16" s="14">
        <f>(B6*B4)/(0.85*B3*B8*B7+E5*B6*(B4/D16))</f>
        <v>5.2131569810526273</v>
      </c>
      <c r="F16" s="14">
        <f>B8*E16</f>
        <v>3.9098677357894704</v>
      </c>
      <c r="G16" s="14">
        <f>B4*(1-E5*E16/D16)</f>
        <v>263.59683724179399</v>
      </c>
      <c r="H16" s="14">
        <f>B6*G16*(D16-F16/2)/12</f>
        <v>8417.4438494429614</v>
      </c>
      <c r="I16" s="14">
        <f t="shared" si="1"/>
        <v>55.394999999999996</v>
      </c>
      <c r="J16" s="19"/>
      <c r="K16" s="14">
        <f>H16*12/(B6*G16)</f>
        <v>59.595066132105245</v>
      </c>
      <c r="L16" s="14">
        <f>MAX(K16,MAX(I16,J13))</f>
        <v>59.595066132105245</v>
      </c>
      <c r="M16" s="14">
        <f>0.18*B3*B1*L16</f>
        <v>514.90137138138937</v>
      </c>
      <c r="N16" s="14">
        <f>FactoredLoadCombination!F23</f>
        <v>254.72161200000002</v>
      </c>
      <c r="O16" t="s">
        <v>93</v>
      </c>
    </row>
    <row r="17" spans="1:17" x14ac:dyDescent="0.25">
      <c r="A17" s="11" t="s">
        <v>12</v>
      </c>
      <c r="B17" s="11">
        <v>32.1</v>
      </c>
      <c r="C17">
        <f>StressCheckofGirderOnly!C13</f>
        <v>24.19</v>
      </c>
      <c r="D17">
        <f t="shared" si="0"/>
        <v>67.31</v>
      </c>
      <c r="E17" s="14">
        <f>(B6*B4)/(0.85*B3*B8*B7+E5*B6*(B4/D17))</f>
        <v>5.2237582227851114</v>
      </c>
      <c r="F17" s="14">
        <f>B8*E17</f>
        <v>3.9178186670888335</v>
      </c>
      <c r="G17" s="14">
        <f>B4*(1-E5*E17/D17)</f>
        <v>264.13287592270757</v>
      </c>
      <c r="H17" s="14">
        <f>B6*G17*(D17-F17/2)/12</f>
        <v>9249.2182407615219</v>
      </c>
      <c r="I17" s="14">
        <f t="shared" si="1"/>
        <v>60.579000000000001</v>
      </c>
      <c r="J17" s="19"/>
      <c r="K17" s="14">
        <f>H17*12/(B6*G17)</f>
        <v>65.35109066645559</v>
      </c>
      <c r="L17" s="14">
        <f>MAX(K17,MAX(I17,J13))</f>
        <v>65.35109066645559</v>
      </c>
      <c r="M17" s="14">
        <f>0.18*B3*B1*L17</f>
        <v>564.63342335817629</v>
      </c>
      <c r="N17" s="14">
        <f>FactoredLoadCombination!F24</f>
        <v>190.49301399999999</v>
      </c>
      <c r="O17" t="s">
        <v>93</v>
      </c>
    </row>
    <row r="18" spans="1:17" x14ac:dyDescent="0.25">
      <c r="A18" s="11" t="s">
        <v>13</v>
      </c>
      <c r="B18" s="11">
        <v>42.8</v>
      </c>
      <c r="C18">
        <f>StressCheckofGirderOnly!C14</f>
        <v>27.65</v>
      </c>
      <c r="D18">
        <f t="shared" si="0"/>
        <v>70.77</v>
      </c>
      <c r="E18" s="14">
        <f>(B6*B4)/(0.85*B3*B8*B7+E5*B6*(B4/D18))</f>
        <v>5.2293138502935124</v>
      </c>
      <c r="F18" s="14">
        <f>B8*E18</f>
        <v>3.9219853877201345</v>
      </c>
      <c r="G18" s="14">
        <f>B4*(1-E5*E18/D18)</f>
        <v>264.41378935873689</v>
      </c>
      <c r="H18" s="14">
        <f>B6*G18*(D18-F18/2)/12</f>
        <v>9748.9786532852922</v>
      </c>
      <c r="I18" s="14">
        <f t="shared" si="1"/>
        <v>63.692999999999998</v>
      </c>
      <c r="J18" s="19"/>
      <c r="K18" s="14">
        <f>H18*12/(B6*G18)</f>
        <v>68.809007306139932</v>
      </c>
      <c r="L18" s="14">
        <f>MAX(K18,MAX(I18,J13))</f>
        <v>68.809007306139932</v>
      </c>
      <c r="M18" s="14">
        <f>0.18*B3*B1*L18</f>
        <v>594.50982312504902</v>
      </c>
      <c r="N18" s="14">
        <f>FactoredLoadCombination!F25</f>
        <v>132.83311200000003</v>
      </c>
      <c r="O18" t="s">
        <v>93</v>
      </c>
    </row>
    <row r="19" spans="1:17" x14ac:dyDescent="0.25">
      <c r="A19" s="11" t="s">
        <v>14</v>
      </c>
      <c r="B19" s="11">
        <v>53.5</v>
      </c>
      <c r="C19">
        <f>StressCheckofGirderOnly!C15</f>
        <v>28.8</v>
      </c>
      <c r="D19">
        <f t="shared" si="0"/>
        <v>71.92</v>
      </c>
      <c r="E19" s="14">
        <f>(B6*B4)/(0.85*B3*B8*B7+E5*B6*(B4/D19))</f>
        <v>5.2310444240498741</v>
      </c>
      <c r="F19" s="14">
        <f>B8*E19</f>
        <v>3.9232833180374058</v>
      </c>
      <c r="G19" s="14">
        <f>B4*(1-E5*E19/D19)</f>
        <v>264.50129368105991</v>
      </c>
      <c r="H19" s="14">
        <f>B6*G19*(D19-F19/2)/12</f>
        <v>9915.1008760419336</v>
      </c>
      <c r="I19" s="14">
        <f t="shared" si="1"/>
        <v>64.728000000000009</v>
      </c>
      <c r="J19" s="19"/>
      <c r="K19" s="14">
        <f>H19*12/(B6*G19)</f>
        <v>69.958358340981306</v>
      </c>
      <c r="L19" s="14">
        <f>MAX(K19,MAX(I19,J13))</f>
        <v>69.958358340981306</v>
      </c>
      <c r="M19" s="14">
        <f>0.18*B3*B1*L19</f>
        <v>604.44021606607851</v>
      </c>
      <c r="N19" s="14">
        <f>FactoredLoadCombination!F26</f>
        <v>75.033153999999996</v>
      </c>
      <c r="O19" t="s">
        <v>93</v>
      </c>
    </row>
    <row r="21" spans="1:17" x14ac:dyDescent="0.25">
      <c r="A21" s="18" t="s">
        <v>0</v>
      </c>
      <c r="B21" s="17" t="s">
        <v>1</v>
      </c>
      <c r="C21" s="17" t="s">
        <v>88</v>
      </c>
      <c r="D21" s="17" t="s">
        <v>95</v>
      </c>
      <c r="E21" s="17" t="s">
        <v>89</v>
      </c>
      <c r="F21" s="17" t="s">
        <v>90</v>
      </c>
      <c r="G21" s="17" t="s">
        <v>73</v>
      </c>
      <c r="H21" s="17" t="s">
        <v>43</v>
      </c>
      <c r="I21" s="17" t="s">
        <v>100</v>
      </c>
      <c r="J21" s="17" t="s">
        <v>101</v>
      </c>
      <c r="K21" s="17" t="s">
        <v>91</v>
      </c>
      <c r="L21" s="18" t="s">
        <v>104</v>
      </c>
      <c r="M21" s="18" t="s">
        <v>125</v>
      </c>
      <c r="N21" s="17" t="s">
        <v>105</v>
      </c>
      <c r="O21" s="18" t="s">
        <v>120</v>
      </c>
      <c r="P21" s="17"/>
      <c r="Q21" s="17"/>
    </row>
    <row r="22" spans="1:17" x14ac:dyDescent="0.25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8"/>
      <c r="N22" s="17"/>
      <c r="O22" s="18"/>
      <c r="P22" s="17"/>
      <c r="Q22" s="17"/>
    </row>
    <row r="23" spans="1:17" s="12" customFormat="1" x14ac:dyDescent="0.25">
      <c r="A23" s="18"/>
      <c r="B23" s="11" t="s">
        <v>2</v>
      </c>
      <c r="C23" s="11" t="s">
        <v>44</v>
      </c>
      <c r="D23" s="12" t="s">
        <v>17</v>
      </c>
      <c r="E23" s="12" t="s">
        <v>17</v>
      </c>
      <c r="F23" s="12" t="s">
        <v>17</v>
      </c>
      <c r="G23" s="12" t="s">
        <v>4</v>
      </c>
      <c r="H23" s="12" t="s">
        <v>44</v>
      </c>
      <c r="I23" s="12" t="s">
        <v>48</v>
      </c>
      <c r="J23" s="12" t="s">
        <v>4</v>
      </c>
      <c r="K23" s="12" t="s">
        <v>4</v>
      </c>
      <c r="L23" s="12" t="s">
        <v>17</v>
      </c>
      <c r="M23" s="12" t="s">
        <v>17</v>
      </c>
      <c r="N23" s="12" t="s">
        <v>17</v>
      </c>
      <c r="O23" s="12" t="s">
        <v>17</v>
      </c>
    </row>
    <row r="24" spans="1:17" x14ac:dyDescent="0.25">
      <c r="A24" s="11">
        <v>0</v>
      </c>
      <c r="B24" s="11">
        <v>0</v>
      </c>
      <c r="C24" s="15">
        <f>MAX(K13,MAX(I13,J13))</f>
        <v>57.239999999999995</v>
      </c>
      <c r="D24" s="14">
        <f>(0.06*SQRT(B3)+0.3*E4)*B1*L13</f>
        <v>153.15049140244611</v>
      </c>
      <c r="E24" s="14">
        <f>UnfactoredLoadAnalysis!C20+UnfactoredLoadAnalysis!D20+UnfactoredLoadAnalysis!E20</f>
        <v>113.03</v>
      </c>
      <c r="F24" s="14">
        <f>1.5*UnfactoredLoadAnalysis!I20+1.75*UnfactoredLoadAnalysis!J20</f>
        <v>235.40470400000004</v>
      </c>
      <c r="G24" s="14">
        <f>1.5*FactoredLoadCombination!D6+1.75*FactoredLoadCombination!E6</f>
        <v>0</v>
      </c>
      <c r="H24" s="14">
        <f>C13</f>
        <v>0</v>
      </c>
      <c r="I24" s="14">
        <f>E1/E2+E1*H24/E7</f>
        <v>1.0165898617511522</v>
      </c>
      <c r="J24" s="14">
        <f>UnfactoredLoadAnalysis!F6</f>
        <v>0</v>
      </c>
      <c r="K24" s="14">
        <f>E6*(E8+I24-J24*12/E7)/12</f>
        <v>3331.0804102566531</v>
      </c>
      <c r="L24" s="14" t="e">
        <f>0.02*(SQRT(B3))*B1*C24+E24+F24*K24/G24</f>
        <v>#DIV/0!</v>
      </c>
      <c r="M24" s="14">
        <f>0.06*SQRT(B3)*B1*C24</f>
        <v>67.30022058091636</v>
      </c>
      <c r="N24" s="14" t="e">
        <f>MAX(L24,M24)</f>
        <v>#DIV/0!</v>
      </c>
      <c r="O24" s="14" t="e">
        <f>MIN(D24,N24)</f>
        <v>#DIV/0!</v>
      </c>
    </row>
    <row r="25" spans="1:17" x14ac:dyDescent="0.25">
      <c r="A25" s="11" t="s">
        <v>19</v>
      </c>
      <c r="B25" s="11">
        <v>3</v>
      </c>
      <c r="C25" s="15">
        <f t="shared" ref="C25:C30" si="2">MAX(K14,MAX(I14,J14))</f>
        <v>44.320270688799184</v>
      </c>
      <c r="D25" s="14">
        <f>(0.06*SQRT(B3)+0.3*E4)*B1*L14</f>
        <v>153.15049140244611</v>
      </c>
      <c r="E25" s="14">
        <f>UnfactoredLoadAnalysis!C21+UnfactoredLoadAnalysis!D21+UnfactoredLoadAnalysis!E21</f>
        <v>107.06</v>
      </c>
      <c r="F25" s="14">
        <f>1.5*UnfactoredLoadAnalysis!I21+1.75*UnfactoredLoadAnalysis!J21</f>
        <v>225.16134000000002</v>
      </c>
      <c r="G25" s="14">
        <v>540.13099999999997</v>
      </c>
      <c r="H25" s="14">
        <f t="shared" ref="H25:H30" si="3">C14</f>
        <v>3.14</v>
      </c>
      <c r="I25" s="14">
        <f>E1/E2+E1*H25/E7</f>
        <v>1.1884100969719638</v>
      </c>
      <c r="J25" s="14">
        <v>307.07</v>
      </c>
      <c r="K25" s="14">
        <f>E6*(E8+I25-J25*12/E7)/12</f>
        <v>3306.3901888290729</v>
      </c>
      <c r="L25" s="14">
        <f>0.02*(SQRT(B3))*B1*C25+E25+F25*K25/G25</f>
        <v>1502.7460130712495</v>
      </c>
      <c r="M25" s="14">
        <f>0.06*SQRT(B3)*B1*C25</f>
        <v>52.109783255802007</v>
      </c>
      <c r="N25" s="14">
        <f t="shared" ref="N25:N30" si="4">MAX(L25,M25)</f>
        <v>1502.7460130712495</v>
      </c>
      <c r="O25" s="14">
        <f t="shared" ref="O25:O30" si="5">MIN(D25,N25)</f>
        <v>153.15049140244611</v>
      </c>
    </row>
    <row r="26" spans="1:17" x14ac:dyDescent="0.25">
      <c r="A26" s="11" t="s">
        <v>10</v>
      </c>
      <c r="B26" s="11">
        <v>10.7</v>
      </c>
      <c r="C26" s="15">
        <f t="shared" si="2"/>
        <v>51.562007405913484</v>
      </c>
      <c r="D26" s="14">
        <f>(0.06*SQRT(B3)+0.3*E4)*B1*L15</f>
        <v>153.15049140244611</v>
      </c>
      <c r="E26" s="14">
        <f>UnfactoredLoadAnalysis!C22+UnfactoredLoadAnalysis!D22+UnfactoredLoadAnalysis!E22</f>
        <v>91.658999999999992</v>
      </c>
      <c r="F26" s="14">
        <f>1.5*UnfactoredLoadAnalysis!I22+1.75*UnfactoredLoadAnalysis!J22</f>
        <v>200.57512400000002</v>
      </c>
      <c r="G26" s="14">
        <f>1.5*FactoredLoadCombination!D7+1.75*FactoredLoadCombination!E7</f>
        <v>1926.46885</v>
      </c>
      <c r="H26" s="14">
        <f t="shared" si="3"/>
        <v>10.39</v>
      </c>
      <c r="I26" s="14">
        <f>E1/E2+E1*H26/E7</f>
        <v>1.5851287929435829</v>
      </c>
      <c r="J26" s="14">
        <f>UnfactoredLoadAnalysis!F7</f>
        <v>1095.2</v>
      </c>
      <c r="K26" s="14">
        <f>E6*(E8+I26-J26*12/E7)/12</f>
        <v>3143.4973952077926</v>
      </c>
      <c r="L26" s="14">
        <f>0.02*(SQRT(B3))*B1*C26+E26+F26*K26/G26</f>
        <v>439.15366613214314</v>
      </c>
      <c r="M26" s="14">
        <f>0.06*SQRT(B3)*B1*C26</f>
        <v>60.624291963885753</v>
      </c>
      <c r="N26" s="14">
        <f t="shared" si="4"/>
        <v>439.15366613214314</v>
      </c>
      <c r="O26" s="14">
        <f t="shared" si="5"/>
        <v>153.15049140244611</v>
      </c>
    </row>
    <row r="27" spans="1:17" x14ac:dyDescent="0.25">
      <c r="A27" s="11" t="s">
        <v>11</v>
      </c>
      <c r="B27" s="11">
        <v>21.4</v>
      </c>
      <c r="C27" s="15">
        <f t="shared" si="2"/>
        <v>59.595066132105245</v>
      </c>
      <c r="D27" s="14">
        <f>(0.06*SQRT(B3)+0.3*E4)*B1*L16</f>
        <v>159.45167126647786</v>
      </c>
      <c r="E27" s="14">
        <f>UnfactoredLoadAnalysis!C23+UnfactoredLoadAnalysis!D23+UnfactoredLoadAnalysis!E23</f>
        <v>70.298000000000002</v>
      </c>
      <c r="F27" s="14">
        <f>1.5*UnfactoredLoadAnalysis!I23+1.75*UnfactoredLoadAnalysis!J23</f>
        <v>166.84911200000002</v>
      </c>
      <c r="G27" s="14">
        <f>1.5*FactoredLoadCombination!D8+1.75*FactoredLoadCombination!E8</f>
        <v>3400.4902700000002</v>
      </c>
      <c r="H27" s="14">
        <f t="shared" si="3"/>
        <v>18.43</v>
      </c>
      <c r="I27" s="14">
        <f>E1/E2+E1*H27/E7</f>
        <v>2.0250761468210747</v>
      </c>
      <c r="J27" s="14">
        <f>UnfactoredLoadAnalysis!F8</f>
        <v>1961.6999999999998</v>
      </c>
      <c r="K27" s="14">
        <f>E6*(E8+I27-J27*12/E7)/12</f>
        <v>2972.9027065724986</v>
      </c>
      <c r="L27" s="14">
        <f>0.02*(SQRT(B3))*B1*C27+E27+F27*K27/G27</f>
        <v>239.52341858745672</v>
      </c>
      <c r="M27" s="14">
        <f>0.06*SQRT(B3)*B1*C27</f>
        <v>70.069201541316929</v>
      </c>
      <c r="N27" s="14">
        <f t="shared" si="4"/>
        <v>239.52341858745672</v>
      </c>
      <c r="O27" s="14">
        <f t="shared" si="5"/>
        <v>159.45167126647786</v>
      </c>
    </row>
    <row r="28" spans="1:17" x14ac:dyDescent="0.25">
      <c r="A28" s="11" t="s">
        <v>12</v>
      </c>
      <c r="B28" s="11">
        <v>32.1</v>
      </c>
      <c r="C28" s="15">
        <f t="shared" si="2"/>
        <v>65.35109066645559</v>
      </c>
      <c r="D28" s="14">
        <f>(0.06*SQRT(B3)+0.3*E4)*B1*L17</f>
        <v>174.85240477382047</v>
      </c>
      <c r="E28" s="14">
        <f>UnfactoredLoadAnalysis!C24+UnfactoredLoadAnalysis!D24+UnfactoredLoadAnalysis!E24</f>
        <v>44.796999999999997</v>
      </c>
      <c r="F28" s="14">
        <f>1.5*UnfactoredLoadAnalysis!I24+1.75*UnfactoredLoadAnalysis!J24</f>
        <v>134.49676399999998</v>
      </c>
      <c r="G28" s="14">
        <f>1.5*FactoredLoadCombination!D9+1.75*FactoredLoadCombination!E9</f>
        <v>4422.0240199999998</v>
      </c>
      <c r="H28" s="14">
        <f t="shared" si="3"/>
        <v>24.19</v>
      </c>
      <c r="I28" s="14">
        <f>E1/E2+E1*H28/E7</f>
        <v>2.3402623107930096</v>
      </c>
      <c r="J28" s="14">
        <f>UnfactoredLoadAnalysis!F9</f>
        <v>2577.5</v>
      </c>
      <c r="K28" s="14">
        <f>E6*(E8+I28-J28*12/E7)/12</f>
        <v>2857.3441740558787</v>
      </c>
      <c r="L28" s="14">
        <f>0.02*(SQRT(B3))*B1*C28+E28+F28*K28/G28</f>
        <v>157.31599901995099</v>
      </c>
      <c r="M28" s="14">
        <f>0.06*SQRT(B3)*B1*C28</f>
        <v>76.83687660824468</v>
      </c>
      <c r="N28" s="14">
        <f t="shared" si="4"/>
        <v>157.31599901995099</v>
      </c>
      <c r="O28" s="14">
        <f t="shared" si="5"/>
        <v>157.31599901995099</v>
      </c>
    </row>
    <row r="29" spans="1:17" x14ac:dyDescent="0.25">
      <c r="A29" s="11" t="s">
        <v>13</v>
      </c>
      <c r="B29" s="11">
        <v>42.8</v>
      </c>
      <c r="C29" s="15">
        <f t="shared" si="2"/>
        <v>68.809007306139932</v>
      </c>
      <c r="D29" s="14">
        <f>(0.06*SQRT(B3)+0.3*E4)*B1*L18</f>
        <v>184.10435502882314</v>
      </c>
      <c r="E29" s="14">
        <f>UnfactoredLoadAnalysis!C25+UnfactoredLoadAnalysis!D25+UnfactoredLoadAnalysis!E25</f>
        <v>23.456</v>
      </c>
      <c r="F29" s="14">
        <f>1.5*UnfactoredLoadAnalysis!I25+1.75*UnfactoredLoadAnalysis!J25</f>
        <v>103.51311200000001</v>
      </c>
      <c r="G29" s="14">
        <f>1.5*FactoredLoadCombination!D10+1.75*FactoredLoadCombination!E10</f>
        <v>5027.8285499999993</v>
      </c>
      <c r="H29" s="14">
        <f t="shared" si="3"/>
        <v>27.65</v>
      </c>
      <c r="I29" s="14">
        <f>E1/E2+E1*H29/E7</f>
        <v>2.5295928884567065</v>
      </c>
      <c r="J29" s="14">
        <f>UnfactoredLoadAnalysis!F10</f>
        <v>2942.6</v>
      </c>
      <c r="K29" s="14">
        <f>E6*(E8+I29-J29*12/E7)/12</f>
        <v>2794.3619192156389</v>
      </c>
      <c r="L29" s="14">
        <f>0.02*(SQRT(B3))*B1*C29+E29+F29*K29/G29</f>
        <v>107.9539352345318</v>
      </c>
      <c r="M29" s="14">
        <f>0.06*SQRT(B3)*B1*C29</f>
        <v>80.902539651591596</v>
      </c>
      <c r="N29" s="14">
        <f t="shared" si="4"/>
        <v>107.9539352345318</v>
      </c>
      <c r="O29" s="14">
        <f t="shared" si="5"/>
        <v>107.9539352345318</v>
      </c>
    </row>
    <row r="30" spans="1:17" x14ac:dyDescent="0.25">
      <c r="A30" s="11" t="s">
        <v>14</v>
      </c>
      <c r="B30" s="11">
        <v>53.5</v>
      </c>
      <c r="C30" s="15">
        <f t="shared" si="2"/>
        <v>69.958358340981306</v>
      </c>
      <c r="D30" s="14">
        <f>(0.06*SQRT(B3)+0.3*E4)*B1*L19</f>
        <v>187.17954153790535</v>
      </c>
      <c r="E30" s="14">
        <f>UnfactoredLoadAnalysis!C26+UnfactoredLoadAnalysis!D26+UnfactoredLoadAnalysis!E26</f>
        <v>2.0649999999999999</v>
      </c>
      <c r="F30" s="14">
        <f>1.5*UnfactoredLoadAnalysis!I26+1.75*UnfactoredLoadAnalysis!J26</f>
        <v>72.451903999999999</v>
      </c>
      <c r="G30" s="14">
        <f>1.5*FactoredLoadCombination!D11+1.75*FactoredLoadCombination!E11</f>
        <v>5194.5889999999999</v>
      </c>
      <c r="H30" s="14">
        <f t="shared" si="3"/>
        <v>28.8</v>
      </c>
      <c r="I30" s="14">
        <f>E1/E2+E1*H30/E7</f>
        <v>2.5925206816108255</v>
      </c>
      <c r="J30" s="14">
        <f>UnfactoredLoadAnalysis!F11</f>
        <v>3079</v>
      </c>
      <c r="K30" s="14">
        <f>E6*(E8+I30-J30*12/E7)/12</f>
        <v>2753.2877476735503</v>
      </c>
      <c r="L30" s="14">
        <f>0.02*(SQRT(B3))*B1*C30+E30+F30*K30/G30</f>
        <v>67.884644039310189</v>
      </c>
      <c r="M30" s="14">
        <f>0.06*SQRT(B3)*B1*C30</f>
        <v>82.253894965528161</v>
      </c>
      <c r="N30" s="14">
        <f t="shared" si="4"/>
        <v>82.253894965528161</v>
      </c>
      <c r="O30" s="14">
        <f t="shared" si="5"/>
        <v>82.253894965528161</v>
      </c>
    </row>
    <row r="32" spans="1:17" x14ac:dyDescent="0.25">
      <c r="A32" s="18" t="s">
        <v>0</v>
      </c>
      <c r="B32" s="17" t="s">
        <v>1</v>
      </c>
      <c r="C32" s="20" t="s">
        <v>126</v>
      </c>
      <c r="D32" s="17" t="s">
        <v>106</v>
      </c>
      <c r="E32" s="17" t="s">
        <v>76</v>
      </c>
      <c r="F32" s="17" t="s">
        <v>107</v>
      </c>
      <c r="G32" s="17" t="s">
        <v>88</v>
      </c>
      <c r="H32" s="17" t="s">
        <v>108</v>
      </c>
      <c r="I32" s="17" t="s">
        <v>111</v>
      </c>
      <c r="J32" s="17" t="s">
        <v>112</v>
      </c>
      <c r="K32" s="17" t="s">
        <v>114</v>
      </c>
      <c r="L32" s="21" t="s">
        <v>118</v>
      </c>
      <c r="M32" s="17" t="s">
        <v>117</v>
      </c>
      <c r="N32" s="18" t="s">
        <v>119</v>
      </c>
      <c r="O32" s="17" t="s">
        <v>115</v>
      </c>
    </row>
    <row r="33" spans="1:15" x14ac:dyDescent="0.25">
      <c r="A33" s="18"/>
      <c r="B33" s="17"/>
      <c r="C33" s="20"/>
      <c r="D33" s="17"/>
      <c r="E33" s="17"/>
      <c r="F33" s="17"/>
      <c r="G33" s="17"/>
      <c r="H33" s="17"/>
      <c r="I33" s="17"/>
      <c r="J33" s="17"/>
      <c r="K33" s="17"/>
      <c r="L33" s="21"/>
      <c r="M33" s="17"/>
      <c r="N33" s="18"/>
      <c r="O33" s="17"/>
    </row>
    <row r="34" spans="1:15" s="11" customFormat="1" x14ac:dyDescent="0.25">
      <c r="A34" s="18"/>
      <c r="B34" s="11" t="s">
        <v>2</v>
      </c>
      <c r="C34" s="20"/>
      <c r="D34" s="11" t="s">
        <v>17</v>
      </c>
      <c r="E34" s="11" t="s">
        <v>17</v>
      </c>
      <c r="F34" s="11" t="s">
        <v>17</v>
      </c>
      <c r="G34" s="11" t="s">
        <v>44</v>
      </c>
      <c r="H34" s="11" t="s">
        <v>109</v>
      </c>
      <c r="I34" s="11" t="s">
        <v>48</v>
      </c>
      <c r="J34" s="11" t="s">
        <v>48</v>
      </c>
      <c r="K34" s="11" t="s">
        <v>44</v>
      </c>
      <c r="L34" s="11" t="s">
        <v>116</v>
      </c>
      <c r="M34" s="11" t="s">
        <v>44</v>
      </c>
      <c r="N34" s="11" t="s">
        <v>109</v>
      </c>
      <c r="O34" s="11" t="s">
        <v>113</v>
      </c>
    </row>
    <row r="35" spans="1:15" x14ac:dyDescent="0.25">
      <c r="A35" s="11">
        <v>0</v>
      </c>
      <c r="B35" s="11">
        <v>0</v>
      </c>
      <c r="C35" s="17">
        <v>1.76</v>
      </c>
      <c r="D35" t="e">
        <f t="shared" ref="D35:D41" si="6">O24</f>
        <v>#DIV/0!</v>
      </c>
      <c r="E35" s="14">
        <f t="shared" ref="E35:E41" si="7">N13</f>
        <v>376.69220400000006</v>
      </c>
      <c r="F35" t="e">
        <f>E35/0.9-D35</f>
        <v>#DIV/0!</v>
      </c>
      <c r="G35" s="14">
        <f t="shared" ref="G35:G41" si="8">C24</f>
        <v>57.239999999999995</v>
      </c>
      <c r="H35" t="e">
        <f>F35/B5/G35/C35</f>
        <v>#DIV/0!</v>
      </c>
      <c r="I35" s="14">
        <f>E35/(0.9*B1*G35)</f>
        <v>0.91401749941765686</v>
      </c>
      <c r="J35" s="17">
        <f>0.125*B3</f>
        <v>0.75</v>
      </c>
      <c r="K35">
        <f>IF(I35&lt;J35,MIN(0.8*G35,24),MIN(0.4*G35,12))</f>
        <v>12</v>
      </c>
      <c r="L35" s="16">
        <v>0.62</v>
      </c>
      <c r="M35" t="e">
        <f t="shared" ref="M35:M41" si="9">L35/H35</f>
        <v>#DIV/0!</v>
      </c>
      <c r="N35" t="e">
        <f>L35/M35</f>
        <v>#DIV/0!</v>
      </c>
      <c r="O35" s="19">
        <f>0.0316*SQRT(B3)*B1/B5</f>
        <v>1.0320516782926456E-2</v>
      </c>
    </row>
    <row r="36" spans="1:15" x14ac:dyDescent="0.25">
      <c r="A36" s="11" t="s">
        <v>19</v>
      </c>
      <c r="B36" s="11">
        <v>3</v>
      </c>
      <c r="C36" s="17"/>
      <c r="D36" s="14">
        <f t="shared" si="6"/>
        <v>153.15049140244611</v>
      </c>
      <c r="E36" s="14">
        <f t="shared" si="7"/>
        <v>358.98634000000004</v>
      </c>
      <c r="F36" s="14">
        <f t="shared" ref="F36:F41" si="10">E36/0.9-D36</f>
        <v>245.72321970866506</v>
      </c>
      <c r="G36" s="14">
        <f t="shared" si="8"/>
        <v>44.320270688799184</v>
      </c>
      <c r="H36" s="14">
        <f>F36/B5/G36/C35</f>
        <v>5.2502486850726726E-2</v>
      </c>
      <c r="I36" s="14">
        <f>E36/(0.9*B1*G36)</f>
        <v>1.12497539193707</v>
      </c>
      <c r="J36" s="17"/>
      <c r="K36">
        <f>IF(I36&lt;J35,MIN(0.8*G36,24),MIN(0.4*G36,12))</f>
        <v>12</v>
      </c>
      <c r="L36" s="16">
        <v>0.62</v>
      </c>
      <c r="M36" s="14">
        <f t="shared" si="9"/>
        <v>11.808964435584981</v>
      </c>
      <c r="N36" s="14">
        <f t="shared" ref="N36:N41" si="11">L36/M36</f>
        <v>5.2502486850726726E-2</v>
      </c>
      <c r="O36" s="19"/>
    </row>
    <row r="37" spans="1:15" x14ac:dyDescent="0.25">
      <c r="A37" s="11" t="s">
        <v>10</v>
      </c>
      <c r="B37" s="11">
        <v>10.7</v>
      </c>
      <c r="C37" s="17"/>
      <c r="D37" s="14">
        <f t="shared" si="6"/>
        <v>153.15049140244611</v>
      </c>
      <c r="E37" s="14">
        <f t="shared" si="7"/>
        <v>315.14887399999998</v>
      </c>
      <c r="F37" s="14">
        <f t="shared" si="10"/>
        <v>197.0149241531094</v>
      </c>
      <c r="G37" s="14">
        <f t="shared" si="8"/>
        <v>51.562007405913484</v>
      </c>
      <c r="H37" s="14">
        <f>F37/B5/G37/C35</f>
        <v>3.6183068194971212E-2</v>
      </c>
      <c r="I37" s="14">
        <f>E37/(0.9*B1*G37)</f>
        <v>0.84889396566481468</v>
      </c>
      <c r="J37" s="17"/>
      <c r="K37">
        <f>IF(I37&lt;J35,MIN(0.8*G37,24),MIN(0.4*G37,12))</f>
        <v>12</v>
      </c>
      <c r="L37" s="16">
        <v>0.62</v>
      </c>
      <c r="M37" s="14">
        <f t="shared" si="9"/>
        <v>17.135086407243062</v>
      </c>
      <c r="N37" s="14">
        <f t="shared" si="11"/>
        <v>3.6183068194971212E-2</v>
      </c>
      <c r="O37" s="19"/>
    </row>
    <row r="38" spans="1:15" x14ac:dyDescent="0.25">
      <c r="A38" s="11" t="s">
        <v>11</v>
      </c>
      <c r="B38" s="11">
        <v>21.4</v>
      </c>
      <c r="C38" s="17"/>
      <c r="D38" s="14">
        <f t="shared" si="6"/>
        <v>159.45167126647786</v>
      </c>
      <c r="E38" s="14">
        <f t="shared" si="7"/>
        <v>254.72161200000002</v>
      </c>
      <c r="F38" s="14">
        <f t="shared" si="10"/>
        <v>123.5723420668555</v>
      </c>
      <c r="G38" s="14">
        <f t="shared" si="8"/>
        <v>59.595066132105245</v>
      </c>
      <c r="H38" s="14">
        <f>F38/B5/G38/C35</f>
        <v>1.9635730089045893E-2</v>
      </c>
      <c r="I38" s="14">
        <f>E38/(0.9*B1*G38)</f>
        <v>0.593639775283473</v>
      </c>
      <c r="J38" s="17"/>
      <c r="K38">
        <f>IF(I38&lt;J35,MIN(0.8*G38,24),MIN(0.4*G38,12))</f>
        <v>24</v>
      </c>
      <c r="L38" s="16">
        <v>0.4</v>
      </c>
      <c r="M38" s="14">
        <f t="shared" si="9"/>
        <v>20.37102762087499</v>
      </c>
      <c r="N38" s="14">
        <f t="shared" si="11"/>
        <v>1.9635730089045893E-2</v>
      </c>
      <c r="O38" s="19"/>
    </row>
    <row r="39" spans="1:15" x14ac:dyDescent="0.25">
      <c r="A39" s="11" t="s">
        <v>12</v>
      </c>
      <c r="B39" s="11">
        <v>32.1</v>
      </c>
      <c r="C39" s="17"/>
      <c r="D39" s="14">
        <f t="shared" si="6"/>
        <v>157.31599901995099</v>
      </c>
      <c r="E39" s="14">
        <f t="shared" si="7"/>
        <v>190.49301399999999</v>
      </c>
      <c r="F39" s="14">
        <f t="shared" si="10"/>
        <v>54.342905424493438</v>
      </c>
      <c r="G39" s="14">
        <f t="shared" si="8"/>
        <v>65.35109066645559</v>
      </c>
      <c r="H39" s="14">
        <f>F39/B5/G39/C35</f>
        <v>7.8745563627907727E-3</v>
      </c>
      <c r="I39" s="14">
        <f>E39/(0.9*B1*G39)</f>
        <v>0.40484960213733656</v>
      </c>
      <c r="J39" s="17"/>
      <c r="K39">
        <f>IF(I39&lt;J35,MIN(0.8*G39,24),MIN(0.4*G39,12))</f>
        <v>24</v>
      </c>
      <c r="L39" s="16">
        <v>0.4</v>
      </c>
      <c r="M39" s="14">
        <f t="shared" si="9"/>
        <v>50.796512409270321</v>
      </c>
      <c r="N39" s="14">
        <f t="shared" si="11"/>
        <v>7.8745563627907727E-3</v>
      </c>
      <c r="O39" s="19"/>
    </row>
    <row r="40" spans="1:15" x14ac:dyDescent="0.25">
      <c r="A40" s="11" t="s">
        <v>13</v>
      </c>
      <c r="B40" s="11">
        <v>42.8</v>
      </c>
      <c r="C40" s="17"/>
      <c r="D40" s="14">
        <f t="shared" si="6"/>
        <v>107.9539352345318</v>
      </c>
      <c r="E40" s="14">
        <f t="shared" si="7"/>
        <v>132.83311200000003</v>
      </c>
      <c r="F40" s="14">
        <f t="shared" si="10"/>
        <v>39.638411432134887</v>
      </c>
      <c r="G40" s="14">
        <f t="shared" si="8"/>
        <v>68.809007306139932</v>
      </c>
      <c r="H40" s="14">
        <f>F40/B5/G40/C35</f>
        <v>5.4551541915500816E-3</v>
      </c>
      <c r="I40" s="14">
        <f>E40/(0.9*B1*G40)</f>
        <v>0.26811959735520124</v>
      </c>
      <c r="J40" s="17"/>
      <c r="K40">
        <f>IF(I40&lt;J35,MIN(0.8*G40,24),MIN(0.4*G40,12))</f>
        <v>24</v>
      </c>
      <c r="L40" s="16">
        <v>0.4</v>
      </c>
      <c r="M40" s="14">
        <f t="shared" si="9"/>
        <v>73.325150115755036</v>
      </c>
      <c r="N40" s="14">
        <f t="shared" si="11"/>
        <v>5.4551541915500816E-3</v>
      </c>
      <c r="O40" s="19"/>
    </row>
    <row r="41" spans="1:15" x14ac:dyDescent="0.25">
      <c r="A41" s="11" t="s">
        <v>14</v>
      </c>
      <c r="B41" s="11">
        <v>53.5</v>
      </c>
      <c r="C41" s="17"/>
      <c r="D41" s="14">
        <f t="shared" si="6"/>
        <v>82.253894965528161</v>
      </c>
      <c r="E41" s="14">
        <f t="shared" si="7"/>
        <v>75.033153999999996</v>
      </c>
      <c r="F41" s="14">
        <f t="shared" si="10"/>
        <v>1.116276145582944</v>
      </c>
      <c r="G41" s="14">
        <f t="shared" si="8"/>
        <v>69.958358340981306</v>
      </c>
      <c r="H41" s="14">
        <f>F41/B5/G41/C35</f>
        <v>1.5110127058226707E-4</v>
      </c>
      <c r="I41" s="14">
        <f>E41/(0.9*B1*G41)</f>
        <v>0.14896392133867659</v>
      </c>
      <c r="J41" s="17"/>
      <c r="K41">
        <f>IF(I41&lt;J35,MIN(0.8*G41,24),MIN(0.4*G41,12))</f>
        <v>24</v>
      </c>
      <c r="L41" s="16">
        <v>0.4</v>
      </c>
      <c r="M41" s="14">
        <f t="shared" si="9"/>
        <v>2647.2312142618289</v>
      </c>
      <c r="N41" s="14">
        <f t="shared" si="11"/>
        <v>1.5110127058226707E-4</v>
      </c>
      <c r="O41" s="19"/>
    </row>
  </sheetData>
  <mergeCells count="51">
    <mergeCell ref="H32:H33"/>
    <mergeCell ref="J35:J41"/>
    <mergeCell ref="J32:J33"/>
    <mergeCell ref="O32:O33"/>
    <mergeCell ref="L32:L33"/>
    <mergeCell ref="M32:M33"/>
    <mergeCell ref="O35:O41"/>
    <mergeCell ref="N32:N33"/>
    <mergeCell ref="A32:A34"/>
    <mergeCell ref="B32:B33"/>
    <mergeCell ref="D32:D33"/>
    <mergeCell ref="E32:E33"/>
    <mergeCell ref="F32:F33"/>
    <mergeCell ref="C32:C34"/>
    <mergeCell ref="A10:A12"/>
    <mergeCell ref="B10:B11"/>
    <mergeCell ref="C10:C11"/>
    <mergeCell ref="D10:D11"/>
    <mergeCell ref="Q21:Q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A21:A23"/>
    <mergeCell ref="B21:B22"/>
    <mergeCell ref="D21:D22"/>
    <mergeCell ref="E21:E22"/>
    <mergeCell ref="F21:F22"/>
    <mergeCell ref="C21:C22"/>
    <mergeCell ref="C35:C41"/>
    <mergeCell ref="O10:O11"/>
    <mergeCell ref="E10:E11"/>
    <mergeCell ref="F10:F11"/>
    <mergeCell ref="H10:H11"/>
    <mergeCell ref="G10:G11"/>
    <mergeCell ref="K10:K11"/>
    <mergeCell ref="N10:N11"/>
    <mergeCell ref="L10:L11"/>
    <mergeCell ref="I10:I11"/>
    <mergeCell ref="J10:J11"/>
    <mergeCell ref="M10:M11"/>
    <mergeCell ref="J13:J19"/>
    <mergeCell ref="K32:K33"/>
    <mergeCell ref="G32:G33"/>
    <mergeCell ref="I32:I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6" sqref="C6:C8"/>
    </sheetView>
  </sheetViews>
  <sheetFormatPr defaultRowHeight="15" x14ac:dyDescent="0.25"/>
  <cols>
    <col min="1" max="1" width="22.5703125" style="4" bestFit="1" customWidth="1"/>
    <col min="2" max="2" width="9.140625" style="4"/>
    <col min="3" max="3" width="13.42578125" style="4" bestFit="1" customWidth="1"/>
    <col min="4" max="4" width="21.5703125" style="4" customWidth="1"/>
    <col min="5" max="16384" width="9.140625" style="4"/>
  </cols>
  <sheetData>
    <row r="1" spans="1:6" x14ac:dyDescent="0.25">
      <c r="A1" s="4" t="s">
        <v>39</v>
      </c>
      <c r="B1" s="4">
        <v>1380</v>
      </c>
    </row>
    <row r="2" spans="1:6" x14ac:dyDescent="0.25">
      <c r="A2" s="4" t="s">
        <v>40</v>
      </c>
      <c r="B2" s="4">
        <v>20157.23</v>
      </c>
    </row>
    <row r="3" spans="1:6" x14ac:dyDescent="0.25">
      <c r="A3" s="4" t="s">
        <v>41</v>
      </c>
      <c r="B3" s="4">
        <v>20587.310000000001</v>
      </c>
    </row>
    <row r="4" spans="1:6" x14ac:dyDescent="0.25">
      <c r="A4" s="4" t="s">
        <v>42</v>
      </c>
      <c r="B4" s="4">
        <v>1085</v>
      </c>
    </row>
    <row r="6" spans="1:6" x14ac:dyDescent="0.25">
      <c r="A6" s="18" t="s">
        <v>0</v>
      </c>
      <c r="B6" s="17" t="s">
        <v>1</v>
      </c>
      <c r="C6" s="17" t="s">
        <v>43</v>
      </c>
      <c r="D6" s="17" t="s">
        <v>49</v>
      </c>
      <c r="E6" s="17" t="s">
        <v>45</v>
      </c>
      <c r="F6" s="17"/>
    </row>
    <row r="7" spans="1:6" x14ac:dyDescent="0.25">
      <c r="A7" s="18"/>
      <c r="B7" s="17"/>
      <c r="C7" s="17"/>
      <c r="D7" s="17"/>
      <c r="E7" s="17"/>
      <c r="F7" s="17"/>
    </row>
    <row r="8" spans="1:6" x14ac:dyDescent="0.25">
      <c r="A8" s="18"/>
      <c r="B8" s="17"/>
      <c r="C8" s="17"/>
      <c r="D8" s="17"/>
      <c r="E8" s="4" t="s">
        <v>46</v>
      </c>
      <c r="F8" s="4" t="s">
        <v>47</v>
      </c>
    </row>
    <row r="9" spans="1:6" x14ac:dyDescent="0.25">
      <c r="A9" s="18"/>
      <c r="B9" s="4" t="s">
        <v>2</v>
      </c>
      <c r="C9" s="4" t="s">
        <v>44</v>
      </c>
      <c r="D9" s="4" t="s">
        <v>4</v>
      </c>
      <c r="E9" s="17" t="s">
        <v>48</v>
      </c>
      <c r="F9" s="17"/>
    </row>
    <row r="10" spans="1:6" x14ac:dyDescent="0.25">
      <c r="A10" s="4">
        <v>0</v>
      </c>
      <c r="B10" s="4">
        <f>LiveLoadAnalysis!B5</f>
        <v>0</v>
      </c>
      <c r="C10" s="4">
        <v>0</v>
      </c>
      <c r="D10" s="4">
        <f>UnfactoredLoadAnalysis!C6</f>
        <v>0</v>
      </c>
      <c r="E10" s="4">
        <f>-B1/B4+B1*C10/B2-D10*12/B2</f>
        <v>-1.271889400921659</v>
      </c>
      <c r="F10" s="4">
        <f>-B1/B4-B1*C10/B3+D10*12/B3</f>
        <v>-1.271889400921659</v>
      </c>
    </row>
    <row r="11" spans="1:6" x14ac:dyDescent="0.25">
      <c r="A11" s="4" t="s">
        <v>10</v>
      </c>
      <c r="B11" s="5">
        <f>LiveLoadAnalysis!B6</f>
        <v>10.7</v>
      </c>
      <c r="C11" s="4">
        <v>10.39</v>
      </c>
      <c r="D11" s="4">
        <f>UnfactoredLoadAnalysis!C7</f>
        <v>582.20000000000005</v>
      </c>
      <c r="E11" s="4">
        <f>-B1/B4+B1*C11/B2-D11*12/B2</f>
        <v>-0.90716666868116769</v>
      </c>
      <c r="F11" s="4">
        <f>-B1/B4-B1*C11/B3+D11*12/B3</f>
        <v>-1.6289928787436767</v>
      </c>
    </row>
    <row r="12" spans="1:6" x14ac:dyDescent="0.25">
      <c r="A12" s="4" t="s">
        <v>11</v>
      </c>
      <c r="B12" s="5">
        <f>LiveLoadAnalysis!B7</f>
        <v>21.4</v>
      </c>
      <c r="C12" s="4">
        <v>18.43</v>
      </c>
      <c r="D12" s="4">
        <f>UnfactoredLoadAnalysis!C8</f>
        <v>1035</v>
      </c>
      <c r="E12" s="4">
        <f>-B1/B4+B1*C12/B2-D12*12/B2</f>
        <v>-0.626294743322376</v>
      </c>
      <c r="F12" s="4">
        <f>-B1/B4-B1*C12/B3+D12*12/B3</f>
        <v>-1.9039972382253183</v>
      </c>
    </row>
    <row r="13" spans="1:6" x14ac:dyDescent="0.25">
      <c r="A13" s="4" t="s">
        <v>12</v>
      </c>
      <c r="B13" s="5">
        <f>LiveLoadAnalysis!B8</f>
        <v>32.1</v>
      </c>
      <c r="C13" s="4">
        <v>24.19</v>
      </c>
      <c r="D13" s="4">
        <f>UnfactoredLoadAnalysis!C9</f>
        <v>1358.4</v>
      </c>
      <c r="E13" s="4">
        <f>-B1/B4+B1*C13/B2-D13*12/B2</f>
        <v>-0.42448129970933957</v>
      </c>
      <c r="F13" s="4">
        <f>-B1/B4-B1*C13/B3+D13*12/B3</f>
        <v>-2.1015946902479481</v>
      </c>
    </row>
    <row r="14" spans="1:6" x14ac:dyDescent="0.25">
      <c r="A14" s="4" t="s">
        <v>13</v>
      </c>
      <c r="B14" s="5">
        <f>LiveLoadAnalysis!B9</f>
        <v>42.8</v>
      </c>
      <c r="C14" s="4">
        <v>27.65</v>
      </c>
      <c r="D14" s="4">
        <f>UnfactoredLoadAnalysis!C10</f>
        <v>1552.5</v>
      </c>
      <c r="E14" s="4">
        <f>-B1/B4+B1*C14/B2-D14*12/B2</f>
        <v>-0.30315510558445247</v>
      </c>
      <c r="F14" s="4">
        <f>-B1/B4-B1*C14/B3+D14*12/B3</f>
        <v>-2.2203863147972456</v>
      </c>
    </row>
    <row r="15" spans="1:6" x14ac:dyDescent="0.25">
      <c r="A15" s="4" t="s">
        <v>14</v>
      </c>
      <c r="B15" s="5">
        <f>LiveLoadAnalysis!B10</f>
        <v>53.5</v>
      </c>
      <c r="C15" s="4">
        <v>28.8</v>
      </c>
      <c r="D15" s="4">
        <f>UnfactoredLoadAnalysis!C11</f>
        <v>1617.2</v>
      </c>
      <c r="E15" s="4">
        <f>-B1/B4+B1*C15/B2-D15*12/B2</f>
        <v>-0.26294124683501119</v>
      </c>
      <c r="F15" s="4">
        <f>-B1/B4-B1*C15/B3+D15*12/B3</f>
        <v>-2.2597600843669463</v>
      </c>
    </row>
  </sheetData>
  <mergeCells count="6">
    <mergeCell ref="A6:A9"/>
    <mergeCell ref="B6:B8"/>
    <mergeCell ref="C6:C8"/>
    <mergeCell ref="E6:F7"/>
    <mergeCell ref="E9:F9"/>
    <mergeCell ref="D6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C14" sqref="C14"/>
    </sheetView>
  </sheetViews>
  <sheetFormatPr defaultRowHeight="15" x14ac:dyDescent="0.25"/>
  <cols>
    <col min="1" max="1" width="27.85546875" customWidth="1"/>
    <col min="3" max="3" width="13.42578125" bestFit="1" customWidth="1"/>
    <col min="5" max="5" width="10.7109375" customWidth="1"/>
    <col min="8" max="8" width="12.42578125" bestFit="1" customWidth="1"/>
    <col min="11" max="11" width="12.42578125" bestFit="1" customWidth="1"/>
    <col min="14" max="14" width="12.42578125" bestFit="1" customWidth="1"/>
    <col min="20" max="20" width="12.42578125" bestFit="1" customWidth="1"/>
  </cols>
  <sheetData>
    <row r="1" spans="1:24" x14ac:dyDescent="0.25">
      <c r="A1" s="6" t="s">
        <v>50</v>
      </c>
      <c r="B1" s="8">
        <v>1103</v>
      </c>
      <c r="C1" s="6"/>
    </row>
    <row r="2" spans="1:24" x14ac:dyDescent="0.25">
      <c r="A2" s="6" t="s">
        <v>40</v>
      </c>
      <c r="B2" s="8">
        <v>20587.310000000001</v>
      </c>
      <c r="C2" s="6"/>
    </row>
    <row r="3" spans="1:24" x14ac:dyDescent="0.25">
      <c r="A3" s="6" t="s">
        <v>41</v>
      </c>
      <c r="B3" s="8">
        <v>20157.23</v>
      </c>
      <c r="C3" s="6"/>
    </row>
    <row r="4" spans="1:24" x14ac:dyDescent="0.25">
      <c r="A4" s="6" t="s">
        <v>42</v>
      </c>
      <c r="B4" s="8">
        <v>1085</v>
      </c>
      <c r="C4" s="6"/>
    </row>
    <row r="5" spans="1:24" x14ac:dyDescent="0.25">
      <c r="A5" s="6" t="s">
        <v>54</v>
      </c>
      <c r="B5" s="8">
        <v>49140.27</v>
      </c>
      <c r="C5" s="6"/>
    </row>
    <row r="6" spans="1:24" x14ac:dyDescent="0.25">
      <c r="A6" s="6" t="s">
        <v>65</v>
      </c>
      <c r="B6" s="8">
        <v>26972.44</v>
      </c>
      <c r="C6" s="6"/>
    </row>
    <row r="7" spans="1:24" x14ac:dyDescent="0.25">
      <c r="A7" s="6" t="s">
        <v>69</v>
      </c>
      <c r="B7" s="8">
        <v>3834</v>
      </c>
      <c r="C7" s="6"/>
    </row>
    <row r="8" spans="1:24" x14ac:dyDescent="0.25">
      <c r="A8" s="6" t="s">
        <v>70</v>
      </c>
      <c r="B8" s="8">
        <v>4696</v>
      </c>
      <c r="C8" s="6"/>
    </row>
    <row r="9" spans="1:24" ht="15" customHeight="1" x14ac:dyDescent="0.25">
      <c r="A9" s="18" t="s">
        <v>0</v>
      </c>
      <c r="B9" s="17" t="s">
        <v>1</v>
      </c>
      <c r="C9" s="18" t="s">
        <v>43</v>
      </c>
      <c r="D9" s="22" t="s">
        <v>51</v>
      </c>
      <c r="E9" s="22" t="s">
        <v>53</v>
      </c>
      <c r="F9" s="22" t="s">
        <v>55</v>
      </c>
      <c r="G9" t="s">
        <v>67</v>
      </c>
      <c r="H9" t="s">
        <v>57</v>
      </c>
      <c r="I9" t="s">
        <v>58</v>
      </c>
      <c r="J9" t="s">
        <v>67</v>
      </c>
      <c r="K9" t="s">
        <v>57</v>
      </c>
      <c r="L9" t="s">
        <v>58</v>
      </c>
      <c r="M9" t="s">
        <v>67</v>
      </c>
      <c r="N9" t="s">
        <v>57</v>
      </c>
      <c r="O9" t="s">
        <v>58</v>
      </c>
      <c r="P9" t="s">
        <v>47</v>
      </c>
      <c r="Q9" t="s">
        <v>57</v>
      </c>
      <c r="R9" t="s">
        <v>58</v>
      </c>
      <c r="S9" t="s">
        <v>47</v>
      </c>
      <c r="T9" t="s">
        <v>57</v>
      </c>
      <c r="U9" t="s">
        <v>58</v>
      </c>
      <c r="V9" t="s">
        <v>68</v>
      </c>
      <c r="W9" t="s">
        <v>57</v>
      </c>
      <c r="X9" t="s">
        <v>58</v>
      </c>
    </row>
    <row r="10" spans="1:24" x14ac:dyDescent="0.25">
      <c r="A10" s="18"/>
      <c r="B10" s="17"/>
      <c r="C10" s="18"/>
      <c r="D10" s="22"/>
      <c r="E10" s="22"/>
      <c r="F10" s="22"/>
      <c r="G10" t="s">
        <v>56</v>
      </c>
      <c r="H10" s="10" t="s">
        <v>62</v>
      </c>
      <c r="I10" s="10"/>
      <c r="J10" t="s">
        <v>60</v>
      </c>
      <c r="K10" t="s">
        <v>63</v>
      </c>
      <c r="M10" t="s">
        <v>61</v>
      </c>
      <c r="N10" t="s">
        <v>64</v>
      </c>
      <c r="P10" t="s">
        <v>56</v>
      </c>
      <c r="Q10" t="s">
        <v>66</v>
      </c>
      <c r="S10" t="s">
        <v>60</v>
      </c>
      <c r="T10" t="s">
        <v>63</v>
      </c>
      <c r="W10" t="s">
        <v>71</v>
      </c>
    </row>
    <row r="11" spans="1:24" x14ac:dyDescent="0.25">
      <c r="A11" s="18"/>
      <c r="B11" s="6" t="s">
        <v>2</v>
      </c>
      <c r="C11" s="7" t="s">
        <v>44</v>
      </c>
      <c r="D11" t="s">
        <v>52</v>
      </c>
      <c r="E11" t="s">
        <v>52</v>
      </c>
      <c r="F11" t="s">
        <v>4</v>
      </c>
      <c r="G11" t="s">
        <v>48</v>
      </c>
      <c r="H11" t="s">
        <v>48</v>
      </c>
      <c r="J11" t="s">
        <v>48</v>
      </c>
      <c r="K11" t="s">
        <v>48</v>
      </c>
      <c r="M11" t="s">
        <v>48</v>
      </c>
      <c r="N11" t="s">
        <v>48</v>
      </c>
      <c r="P11" t="s">
        <v>48</v>
      </c>
      <c r="Q11" t="s">
        <v>48</v>
      </c>
      <c r="S11" t="s">
        <v>48</v>
      </c>
      <c r="T11" t="s">
        <v>48</v>
      </c>
      <c r="V11" t="s">
        <v>48</v>
      </c>
      <c r="W11" t="s">
        <v>48</v>
      </c>
    </row>
    <row r="12" spans="1:24" x14ac:dyDescent="0.25">
      <c r="A12" s="6">
        <v>0</v>
      </c>
      <c r="B12" s="8">
        <f>LiveLoadAnalysis!B5</f>
        <v>0</v>
      </c>
      <c r="C12" s="8">
        <f>StressCheckofGirderOnly!C10</f>
        <v>0</v>
      </c>
      <c r="D12" s="9">
        <f>FactoredLoadCombination!C6</f>
        <v>0</v>
      </c>
      <c r="E12" s="9">
        <f>FactoredLoadCombination!D6</f>
        <v>0</v>
      </c>
      <c r="F12" s="9">
        <f>FactoredLoadCombination!E6</f>
        <v>0</v>
      </c>
      <c r="G12">
        <f>-B1/B4+(B1*C12)/B2-D12*12/B2-E12*12/B5-F12*12/B5</f>
        <v>-1.0165898617511522</v>
      </c>
      <c r="H12" s="18">
        <v>-3.6</v>
      </c>
      <c r="I12" t="s">
        <v>59</v>
      </c>
      <c r="J12">
        <f>-B1/B4+(B1*C12)/B2-D12*12/B2-E12*12/B5</f>
        <v>-1.0165898617511522</v>
      </c>
      <c r="K12" s="18">
        <v>-2.7</v>
      </c>
      <c r="L12" t="s">
        <v>59</v>
      </c>
      <c r="M12">
        <f>-B1/B4/2+(B1*C12)/B2/2-D12*12/B2/2-E12*12/B5/2-F12*12/B5</f>
        <v>-0.50829493087557609</v>
      </c>
      <c r="N12" s="18">
        <v>-2.4</v>
      </c>
      <c r="O12" t="s">
        <v>59</v>
      </c>
      <c r="P12">
        <f>-B1/B4-B1*C12/B3+D12*12/B3+E12*12/B6+0.8*F12*12/B6</f>
        <v>-1.0165898617511522</v>
      </c>
      <c r="Q12" s="17">
        <v>0.46500000000000002</v>
      </c>
      <c r="R12" t="s">
        <v>59</v>
      </c>
      <c r="S12">
        <f>-B1/B4-B1*C12/B3+D12*12/B3+E12*12/B6</f>
        <v>-1.0165898617511522</v>
      </c>
      <c r="T12" s="17">
        <v>-2.7</v>
      </c>
      <c r="U12" t="s">
        <v>59</v>
      </c>
      <c r="V12">
        <f>-(E12+F12)*12/B5*(B7/B8)</f>
        <v>0</v>
      </c>
      <c r="W12" s="18">
        <v>-2.4</v>
      </c>
      <c r="X12" t="s">
        <v>59</v>
      </c>
    </row>
    <row r="13" spans="1:24" x14ac:dyDescent="0.25">
      <c r="A13" s="6" t="s">
        <v>10</v>
      </c>
      <c r="B13" s="8">
        <f>LiveLoadAnalysis!B6</f>
        <v>10.7</v>
      </c>
      <c r="C13" s="8">
        <f>StressCheckofGirderOnly!C11</f>
        <v>10.39</v>
      </c>
      <c r="D13" s="9">
        <f>FactoredLoadCombination!C7</f>
        <v>1095.2</v>
      </c>
      <c r="E13" s="9">
        <f>FactoredLoadCombination!D7</f>
        <v>334.9</v>
      </c>
      <c r="F13" s="9">
        <f>FactoredLoadCombination!E7</f>
        <v>813.78219999999999</v>
      </c>
      <c r="G13">
        <f>-B1/B4+(B1*C13)/B2-D13*12/B2-E13*12/B5-F13*12/B5</f>
        <v>-1.3788087809086016</v>
      </c>
      <c r="H13" s="18"/>
      <c r="I13" t="s">
        <v>59</v>
      </c>
      <c r="J13">
        <f>-B1/B4+(B1*C13)/B2-D13*12/B2-E13*12/B5</f>
        <v>-1.1800840608368559</v>
      </c>
      <c r="K13" s="18"/>
      <c r="L13" t="s">
        <v>59</v>
      </c>
      <c r="M13">
        <f>-B1/B4/2+(B1*C13)/B2/2-D13*12/B2/2-E13*12/B5/2-F13*12/B5</f>
        <v>-0.78876675049017364</v>
      </c>
      <c r="N13" s="18"/>
      <c r="O13" t="s">
        <v>59</v>
      </c>
      <c r="P13">
        <f>-B1/B4-B1*C13/B3+D13*12/B3+E13*12/B6+0.8*F13*12/B6</f>
        <v>-0.49449748521472003</v>
      </c>
      <c r="Q13" s="17"/>
      <c r="R13" t="s">
        <v>59</v>
      </c>
      <c r="S13">
        <f>-B1/B4-B1*C13/B3+D13*12/B3+E13*12/B6</f>
        <v>-0.78413791522401843</v>
      </c>
      <c r="T13" s="17"/>
      <c r="U13" t="s">
        <v>59</v>
      </c>
      <c r="V13">
        <f>-(E13+F13)*12/B5*(B7/B8)</f>
        <v>-0.22901694616931501</v>
      </c>
      <c r="W13" s="18"/>
      <c r="X13" t="s">
        <v>59</v>
      </c>
    </row>
    <row r="14" spans="1:24" x14ac:dyDescent="0.25">
      <c r="A14" s="6" t="s">
        <v>11</v>
      </c>
      <c r="B14" s="8">
        <f>LiveLoadAnalysis!B7</f>
        <v>21.4</v>
      </c>
      <c r="C14" s="8">
        <f>StressCheckofGirderOnly!C12</f>
        <v>18.43</v>
      </c>
      <c r="D14" s="9">
        <f>FactoredLoadCombination!C8</f>
        <v>1961.6999999999998</v>
      </c>
      <c r="E14" s="9">
        <f>FactoredLoadCombination!D8</f>
        <v>595.40000000000009</v>
      </c>
      <c r="F14" s="9">
        <f>FactoredLoadCombination!E8</f>
        <v>1432.7944399999999</v>
      </c>
      <c r="G14">
        <f>-B1/B4+(B1*C14)/B2-D14*12/B2-E14*12/B5-F14*12/B5</f>
        <v>-1.6678965015335427</v>
      </c>
      <c r="H14" s="18"/>
      <c r="I14" t="s">
        <v>59</v>
      </c>
      <c r="J14">
        <f>-B1/B4+(B1*C14)/B2-D14*12/B2-E14*12/B5</f>
        <v>-1.3180096718518988</v>
      </c>
      <c r="K14" s="18"/>
      <c r="L14" t="s">
        <v>59</v>
      </c>
      <c r="M14">
        <f>-B1/B4/2+(B1*C14)/B2/2-D14*12/B2/2-E14*12/B5/2-F14*12/B5</f>
        <v>-1.0088916656075935</v>
      </c>
      <c r="N14" s="18"/>
      <c r="O14" t="s">
        <v>59</v>
      </c>
      <c r="P14">
        <f>-B1/B4-B1*C13/B3+D13*12/B3+E13*12/B6+0.8*F13*12/B6</f>
        <v>-0.49449748521472003</v>
      </c>
      <c r="Q14" s="17"/>
      <c r="R14" t="s">
        <v>59</v>
      </c>
      <c r="S14">
        <f>-B1/B4-B1*C13/B3+D13*12/B3+E13*12/B6</f>
        <v>-0.78413791522401843</v>
      </c>
      <c r="T14" s="17"/>
      <c r="U14" t="s">
        <v>59</v>
      </c>
      <c r="V14">
        <f>-(E14+F14)*12/B5*(B7/B8)</f>
        <v>-0.40436849886451104</v>
      </c>
      <c r="W14" s="18"/>
      <c r="X14" t="s">
        <v>59</v>
      </c>
    </row>
    <row r="15" spans="1:24" x14ac:dyDescent="0.25">
      <c r="A15" s="6" t="s">
        <v>12</v>
      </c>
      <c r="B15" s="8">
        <f>LiveLoadAnalysis!B8</f>
        <v>32.1</v>
      </c>
      <c r="C15" s="8">
        <f>StressCheckofGirderOnly!C13</f>
        <v>24.19</v>
      </c>
      <c r="D15" s="9">
        <f>FactoredLoadCombination!C9</f>
        <v>2577.5</v>
      </c>
      <c r="E15" s="9">
        <f>FactoredLoadCombination!D9</f>
        <v>781.40000000000009</v>
      </c>
      <c r="F15" s="9">
        <f>FactoredLoadCombination!E9</f>
        <v>1857.09944</v>
      </c>
      <c r="G15">
        <f>-B1/B4+(B1*C15)/B2-D15*12/B2-E15*12/B5-F15*12/B5</f>
        <v>-1.8672701178740196</v>
      </c>
      <c r="H15" s="18"/>
      <c r="I15" t="s">
        <v>59</v>
      </c>
      <c r="J15">
        <f>-B1/B4+(B1*C15)/B2-D15*12/B2-E15*12/B5</f>
        <v>-1.4137684728891631</v>
      </c>
      <c r="K15" s="18"/>
      <c r="L15" t="s">
        <v>59</v>
      </c>
      <c r="M15">
        <f>-B1/B4/2+(B1*C15)/B2/2-D15*12/B2/2-E15*12/B5/2-F15*12/B5</f>
        <v>-1.1603858814294381</v>
      </c>
      <c r="N15" s="18"/>
      <c r="O15" t="s">
        <v>59</v>
      </c>
      <c r="P15">
        <f>-B1/B4-B1*C15/B3+D15*12/B3+E15*12/B6+0.8*F15*12/B6</f>
        <v>0.20279516453528301</v>
      </c>
      <c r="Q15" s="17"/>
      <c r="R15" t="s">
        <v>59</v>
      </c>
      <c r="S15">
        <f>-B1/B4-B1*C15/B3+D15*12/B3+E15*12/B6</f>
        <v>-0.45818154443135117</v>
      </c>
      <c r="T15" s="17"/>
      <c r="U15" t="s">
        <v>59</v>
      </c>
      <c r="V15">
        <f>-(E15+F15)*12/B5*(B7/B8)</f>
        <v>-0.52604722543645921</v>
      </c>
      <c r="W15" s="18"/>
      <c r="X15" t="s">
        <v>59</v>
      </c>
    </row>
    <row r="16" spans="1:24" x14ac:dyDescent="0.25">
      <c r="A16" s="6" t="s">
        <v>13</v>
      </c>
      <c r="B16" s="8">
        <f>LiveLoadAnalysis!B9</f>
        <v>42.8</v>
      </c>
      <c r="C16" s="8">
        <f>StressCheckofGirderOnly!C14</f>
        <v>27.65</v>
      </c>
      <c r="D16" s="9">
        <f>FactoredLoadCombination!C10</f>
        <v>2942.6</v>
      </c>
      <c r="E16" s="9">
        <f>FactoredLoadCombination!D10</f>
        <v>893.09999999999991</v>
      </c>
      <c r="F16" s="9">
        <f>FactoredLoadCombination!E10</f>
        <v>2107.5305999999996</v>
      </c>
      <c r="G16">
        <f>-B1/B4+(B1*C16)/B2-D16*12/B2-E16*12/B5-F16*12/B5</f>
        <v>-1.9831374969968616</v>
      </c>
      <c r="H16" s="18"/>
      <c r="I16" t="s">
        <v>59</v>
      </c>
      <c r="J16">
        <f>-B1/B4+(B1*C16)/B2-D16*12/B2-E16*12/B5</f>
        <v>-1.4684808376012173</v>
      </c>
      <c r="K16" s="18"/>
      <c r="L16" t="s">
        <v>59</v>
      </c>
      <c r="M16">
        <f>-B1/B4/2+(B1*C16)/B2/2-D16*12/B2/2-E16*12/B5/2-F16*12/B5</f>
        <v>-1.248897078196253</v>
      </c>
      <c r="N16" s="18"/>
      <c r="O16" t="s">
        <v>59</v>
      </c>
      <c r="P16">
        <f>-B1/B4-B1*C16/B3+D16*12/B3+E16*12/B6+0.8*F16*12/B6</f>
        <v>0.36964422209488351</v>
      </c>
      <c r="Q16" s="17"/>
      <c r="R16" t="s">
        <v>59</v>
      </c>
      <c r="S16">
        <f>-B1/B4-B1*C16/B3+D16*12/B3+E16*12/B6</f>
        <v>-0.38046565895406864</v>
      </c>
      <c r="T16" s="17"/>
      <c r="U16" t="s">
        <v>59</v>
      </c>
      <c r="V16">
        <f>-(E16+F16)*12/B5*(B7/B8)</f>
        <v>-0.59824663130864153</v>
      </c>
      <c r="W16" s="18"/>
      <c r="X16" t="s">
        <v>59</v>
      </c>
    </row>
    <row r="17" spans="1:24" x14ac:dyDescent="0.25">
      <c r="A17" s="6" t="s">
        <v>14</v>
      </c>
      <c r="B17" s="8">
        <f>LiveLoadAnalysis!B10</f>
        <v>53.5</v>
      </c>
      <c r="C17" s="8">
        <f>StressCheckofGirderOnly!C15</f>
        <v>28.8</v>
      </c>
      <c r="D17" s="9">
        <f>FactoredLoadCombination!C11</f>
        <v>3079</v>
      </c>
      <c r="E17" s="9">
        <f>FactoredLoadCombination!D11</f>
        <v>929.40000000000009</v>
      </c>
      <c r="F17" s="9">
        <f>FactoredLoadCombination!E11</f>
        <v>2171.7080000000001</v>
      </c>
      <c r="G17">
        <f>-B1/B4+(B1*C17)/B2-D17*12/B2-E17*12/B5-F17*12/B5</f>
        <v>-2.025566057633617</v>
      </c>
      <c r="H17" s="18"/>
      <c r="I17" t="s">
        <v>59</v>
      </c>
      <c r="J17">
        <f>-B1/B4+(B1*C17)/B2-D17*12/B2-E17*12/B5</f>
        <v>-1.4952373475960041</v>
      </c>
      <c r="K17" s="18"/>
      <c r="L17" t="s">
        <v>59</v>
      </c>
      <c r="M17">
        <f>-B1/B4/2+(B1*C17)/B2/2-D17*12/B2/2-E17*12/B5/2-F17*12/B5</f>
        <v>-1.2779473838356148</v>
      </c>
      <c r="N17" s="18"/>
      <c r="O17" t="s">
        <v>59</v>
      </c>
      <c r="P17">
        <f>-B1/B4-B1*C17/B3+D17*12/B3+E17*12/B6+0.8*F17*12/B6</f>
        <v>0.42690982722756976</v>
      </c>
      <c r="Q17" s="17"/>
      <c r="R17" t="s">
        <v>59</v>
      </c>
      <c r="S17">
        <f>-B1/B4-B1*C17/B3+D17*12/B3+E17*12/B6</f>
        <v>-0.34604200063820745</v>
      </c>
      <c r="T17" s="17"/>
      <c r="U17" t="s">
        <v>59</v>
      </c>
      <c r="V17">
        <f>-(E17+F17)*12/B5*(B7/B8)</f>
        <v>-0.61827917582533465</v>
      </c>
      <c r="W17" s="18"/>
      <c r="X17" t="s">
        <v>59</v>
      </c>
    </row>
  </sheetData>
  <mergeCells count="12">
    <mergeCell ref="A9:A11"/>
    <mergeCell ref="B9:B10"/>
    <mergeCell ref="D9:D10"/>
    <mergeCell ref="E9:E10"/>
    <mergeCell ref="F9:F10"/>
    <mergeCell ref="C9:C10"/>
    <mergeCell ref="Q12:Q17"/>
    <mergeCell ref="T12:T17"/>
    <mergeCell ref="W12:W17"/>
    <mergeCell ref="H12:H17"/>
    <mergeCell ref="K12:K17"/>
    <mergeCell ref="N12:N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LiveLoadAnalysis</vt:lpstr>
      <vt:lpstr>UnfactoredLoadAnalysis</vt:lpstr>
      <vt:lpstr>FactoredLoadCombination</vt:lpstr>
      <vt:lpstr>ShearDesign</vt:lpstr>
      <vt:lpstr>StressCheckofGirderOnly</vt:lpstr>
      <vt:lpstr>StressCheckAtDifferentStage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Asif</dc:creator>
  <cp:lastModifiedBy>Syed Asif</cp:lastModifiedBy>
  <dcterms:created xsi:type="dcterms:W3CDTF">2016-11-20T14:55:24Z</dcterms:created>
  <dcterms:modified xsi:type="dcterms:W3CDTF">2016-12-19T11:44:07Z</dcterms:modified>
</cp:coreProperties>
</file>