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ashadul Islam\Desktop\#\New folder\"/>
    </mc:Choice>
  </mc:AlternateContent>
  <xr:revisionPtr revIDLastSave="0" documentId="13_ncr:1_{98751A3B-A5A8-4C0A-8ADA-D76623DFA2F2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132" sheetId="1" r:id="rId1"/>
    <sheet name="133" sheetId="2" r:id="rId2"/>
    <sheet name="134" sheetId="6" r:id="rId3"/>
    <sheet name="135" sheetId="5" r:id="rId4"/>
    <sheet name="136" sheetId="4" r:id="rId5"/>
    <sheet name="137" sheetId="3" r:id="rId6"/>
    <sheet name="138" sheetId="7" r:id="rId7"/>
    <sheet name="139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8" l="1"/>
  <c r="C4" i="1" l="1"/>
  <c r="M30" i="8"/>
  <c r="M10" i="8"/>
  <c r="M6" i="8"/>
  <c r="M36" i="8" s="1"/>
  <c r="M30" i="7"/>
  <c r="M10" i="7"/>
  <c r="M6" i="7"/>
  <c r="M36" i="7" s="1"/>
  <c r="M6" i="3"/>
  <c r="M30" i="3" s="1"/>
  <c r="M6" i="4"/>
  <c r="M30" i="4" s="1"/>
  <c r="M22" i="5"/>
  <c r="M6" i="5"/>
  <c r="M30" i="5" s="1"/>
  <c r="M6" i="6"/>
  <c r="M30" i="6" s="1"/>
  <c r="M22" i="2"/>
  <c r="M6" i="2"/>
  <c r="M30" i="2" s="1"/>
  <c r="M22" i="8" l="1"/>
  <c r="M16" i="8"/>
  <c r="M22" i="7"/>
  <c r="M16" i="7"/>
  <c r="M22" i="3"/>
  <c r="M36" i="3"/>
  <c r="M16" i="3"/>
  <c r="M10" i="3"/>
  <c r="M22" i="4"/>
  <c r="M16" i="4"/>
  <c r="M36" i="4"/>
  <c r="M10" i="4"/>
  <c r="M16" i="5"/>
  <c r="M36" i="5"/>
  <c r="M10" i="5"/>
  <c r="M22" i="6"/>
  <c r="M16" i="6"/>
  <c r="M36" i="6"/>
  <c r="M10" i="6"/>
  <c r="M16" i="2"/>
  <c r="M36" i="2"/>
  <c r="M10" i="2"/>
  <c r="M10" i="1" l="1"/>
  <c r="M22" i="1"/>
  <c r="M6" i="1"/>
  <c r="M36" i="1" s="1"/>
  <c r="B23" i="1"/>
  <c r="G13" i="2"/>
  <c r="B21" i="8"/>
  <c r="C15" i="8"/>
  <c r="G17" i="8" s="1"/>
  <c r="G14" i="8"/>
  <c r="C14" i="8"/>
  <c r="G13" i="8" s="1"/>
  <c r="G15" i="8" s="1"/>
  <c r="C11" i="8"/>
  <c r="C6" i="8"/>
  <c r="C4" i="8"/>
  <c r="B21" i="7"/>
  <c r="G17" i="7"/>
  <c r="C15" i="7"/>
  <c r="G14" i="7"/>
  <c r="C11" i="7"/>
  <c r="C14" i="7" s="1"/>
  <c r="C6" i="7"/>
  <c r="C4" i="7"/>
  <c r="B21" i="6"/>
  <c r="C15" i="6"/>
  <c r="G17" i="6" s="1"/>
  <c r="G14" i="6"/>
  <c r="C14" i="6"/>
  <c r="G13" i="6" s="1"/>
  <c r="C11" i="6"/>
  <c r="C6" i="6"/>
  <c r="C4" i="6"/>
  <c r="B21" i="5"/>
  <c r="C15" i="5"/>
  <c r="G17" i="5" s="1"/>
  <c r="G14" i="5"/>
  <c r="C14" i="5"/>
  <c r="G13" i="5" s="1"/>
  <c r="C11" i="5"/>
  <c r="C6" i="5"/>
  <c r="C4" i="5"/>
  <c r="B21" i="4"/>
  <c r="C15" i="4"/>
  <c r="G17" i="4" s="1"/>
  <c r="G14" i="4"/>
  <c r="C14" i="4"/>
  <c r="G13" i="4" s="1"/>
  <c r="C11" i="4"/>
  <c r="C6" i="4"/>
  <c r="C4" i="4"/>
  <c r="B21" i="3"/>
  <c r="C15" i="3"/>
  <c r="G17" i="3" s="1"/>
  <c r="G14" i="3"/>
  <c r="C14" i="3"/>
  <c r="G16" i="3" s="1"/>
  <c r="G13" i="3"/>
  <c r="C11" i="3"/>
  <c r="C6" i="3"/>
  <c r="C4" i="3"/>
  <c r="B21" i="2"/>
  <c r="C15" i="2"/>
  <c r="G17" i="2" s="1"/>
  <c r="G14" i="2"/>
  <c r="C11" i="2"/>
  <c r="C14" i="2" s="1"/>
  <c r="C6" i="2"/>
  <c r="C4" i="2"/>
  <c r="B21" i="1"/>
  <c r="G17" i="1"/>
  <c r="G14" i="1"/>
  <c r="C15" i="1"/>
  <c r="C6" i="1"/>
  <c r="C11" i="1"/>
  <c r="C14" i="1" s="1"/>
  <c r="G22" i="8" l="1"/>
  <c r="M29" i="8" s="1"/>
  <c r="M5" i="8"/>
  <c r="M7" i="8" s="1"/>
  <c r="N7" i="8" s="1"/>
  <c r="G15" i="6"/>
  <c r="G22" i="6"/>
  <c r="M29" i="6" s="1"/>
  <c r="M5" i="6"/>
  <c r="M7" i="6" s="1"/>
  <c r="N7" i="6" s="1"/>
  <c r="G13" i="1"/>
  <c r="G16" i="1"/>
  <c r="G18" i="1" s="1"/>
  <c r="C16" i="1"/>
  <c r="M30" i="1"/>
  <c r="M16" i="1"/>
  <c r="G15" i="5"/>
  <c r="C16" i="8"/>
  <c r="G16" i="8"/>
  <c r="G18" i="8" s="1"/>
  <c r="G13" i="7"/>
  <c r="G15" i="7" s="1"/>
  <c r="C16" i="7"/>
  <c r="G16" i="7"/>
  <c r="G18" i="7" s="1"/>
  <c r="C16" i="6"/>
  <c r="G16" i="6"/>
  <c r="G18" i="6" s="1"/>
  <c r="C16" i="5"/>
  <c r="G16" i="5"/>
  <c r="G18" i="5" s="1"/>
  <c r="G15" i="4"/>
  <c r="C16" i="4"/>
  <c r="G16" i="4"/>
  <c r="G18" i="4" s="1"/>
  <c r="G18" i="3"/>
  <c r="G15" i="3"/>
  <c r="C16" i="3"/>
  <c r="C16" i="2"/>
  <c r="G15" i="2"/>
  <c r="G16" i="2"/>
  <c r="G18" i="2" s="1"/>
  <c r="G15" i="1"/>
  <c r="M5" i="1" s="1"/>
  <c r="G22" i="2" l="1"/>
  <c r="M29" i="2" s="1"/>
  <c r="M5" i="2"/>
  <c r="M7" i="2" s="1"/>
  <c r="N7" i="2" s="1"/>
  <c r="G23" i="3"/>
  <c r="M35" i="3" s="1"/>
  <c r="M9" i="3"/>
  <c r="M11" i="3" s="1"/>
  <c r="N11" i="3" s="1"/>
  <c r="G23" i="8"/>
  <c r="M35" i="8" s="1"/>
  <c r="M9" i="8"/>
  <c r="M11" i="8" s="1"/>
  <c r="N11" i="8" s="1"/>
  <c r="M37" i="8"/>
  <c r="M17" i="8"/>
  <c r="M23" i="8"/>
  <c r="M31" i="8"/>
  <c r="M32" i="8" s="1"/>
  <c r="M33" i="8" s="1"/>
  <c r="G23" i="7"/>
  <c r="M35" i="7" s="1"/>
  <c r="M9" i="7"/>
  <c r="M11" i="7" s="1"/>
  <c r="N11" i="7" s="1"/>
  <c r="G22" i="7"/>
  <c r="M29" i="7" s="1"/>
  <c r="M5" i="7"/>
  <c r="M7" i="7" s="1"/>
  <c r="N7" i="7" s="1"/>
  <c r="G22" i="3"/>
  <c r="M29" i="3" s="1"/>
  <c r="M5" i="3"/>
  <c r="M7" i="3" s="1"/>
  <c r="N7" i="3" s="1"/>
  <c r="G23" i="5"/>
  <c r="M35" i="5" s="1"/>
  <c r="M9" i="5"/>
  <c r="M11" i="5" s="1"/>
  <c r="N11" i="5" s="1"/>
  <c r="G22" i="5"/>
  <c r="M29" i="5" s="1"/>
  <c r="M5" i="5"/>
  <c r="M7" i="5" s="1"/>
  <c r="N7" i="5" s="1"/>
  <c r="G22" i="4"/>
  <c r="M29" i="4" s="1"/>
  <c r="M5" i="4"/>
  <c r="M7" i="4" s="1"/>
  <c r="N7" i="4" s="1"/>
  <c r="G23" i="4"/>
  <c r="M35" i="4" s="1"/>
  <c r="M9" i="4"/>
  <c r="M11" i="4" s="1"/>
  <c r="N11" i="4" s="1"/>
  <c r="G23" i="6"/>
  <c r="M35" i="6" s="1"/>
  <c r="M9" i="6"/>
  <c r="M11" i="6" s="1"/>
  <c r="N11" i="6" s="1"/>
  <c r="M37" i="6"/>
  <c r="M23" i="6"/>
  <c r="M17" i="6"/>
  <c r="M31" i="6"/>
  <c r="M32" i="6" s="1"/>
  <c r="M33" i="6" s="1"/>
  <c r="G23" i="1"/>
  <c r="M35" i="1" s="1"/>
  <c r="M9" i="1"/>
  <c r="M11" i="1" s="1"/>
  <c r="N11" i="1" s="1"/>
  <c r="G6" i="1"/>
  <c r="M21" i="1" s="1"/>
  <c r="G5" i="1"/>
  <c r="G23" i="2"/>
  <c r="M35" i="2" s="1"/>
  <c r="M9" i="2"/>
  <c r="M11" i="2" s="1"/>
  <c r="N11" i="2" s="1"/>
  <c r="G22" i="1"/>
  <c r="M29" i="1" s="1"/>
  <c r="M7" i="1"/>
  <c r="N7" i="1" s="1"/>
  <c r="M17" i="1" s="1"/>
  <c r="G6" i="8"/>
  <c r="M21" i="8" s="1"/>
  <c r="G5" i="8"/>
  <c r="G6" i="7"/>
  <c r="M21" i="7" s="1"/>
  <c r="G5" i="7"/>
  <c r="G5" i="6"/>
  <c r="G6" i="6"/>
  <c r="M21" i="6" s="1"/>
  <c r="G6" i="5"/>
  <c r="M21" i="5" s="1"/>
  <c r="G5" i="5"/>
  <c r="G6" i="4"/>
  <c r="M21" i="4" s="1"/>
  <c r="G5" i="4"/>
  <c r="G6" i="3"/>
  <c r="M21" i="3" s="1"/>
  <c r="G5" i="3"/>
  <c r="G6" i="2"/>
  <c r="M21" i="2" s="1"/>
  <c r="G5" i="2"/>
  <c r="M23" i="2" l="1"/>
  <c r="M24" i="2" s="1"/>
  <c r="M25" i="2" s="1"/>
  <c r="N25" i="2" s="1"/>
  <c r="M31" i="2"/>
  <c r="M32" i="2" s="1"/>
  <c r="M33" i="2" s="1"/>
  <c r="M17" i="2"/>
  <c r="M37" i="2"/>
  <c r="M38" i="2" s="1"/>
  <c r="M39" i="2" s="1"/>
  <c r="B20" i="2"/>
  <c r="M15" i="2"/>
  <c r="M18" i="2" s="1"/>
  <c r="M19" i="2" s="1"/>
  <c r="N19" i="2" s="1"/>
  <c r="M24" i="8"/>
  <c r="M25" i="8" s="1"/>
  <c r="N25" i="8" s="1"/>
  <c r="M38" i="8"/>
  <c r="M39" i="8" s="1"/>
  <c r="M15" i="8"/>
  <c r="M18" i="8" s="1"/>
  <c r="M19" i="8" s="1"/>
  <c r="N19" i="8" s="1"/>
  <c r="B20" i="7"/>
  <c r="M15" i="7"/>
  <c r="M37" i="7"/>
  <c r="M38" i="7" s="1"/>
  <c r="M39" i="7" s="1"/>
  <c r="M23" i="7"/>
  <c r="M24" i="7" s="1"/>
  <c r="M25" i="7" s="1"/>
  <c r="N25" i="7" s="1"/>
  <c r="M31" i="7"/>
  <c r="M32" i="7" s="1"/>
  <c r="M33" i="7" s="1"/>
  <c r="M17" i="7"/>
  <c r="B20" i="3"/>
  <c r="M15" i="3"/>
  <c r="M17" i="3"/>
  <c r="M31" i="3"/>
  <c r="M32" i="3" s="1"/>
  <c r="M33" i="3" s="1"/>
  <c r="M37" i="3"/>
  <c r="M38" i="3" s="1"/>
  <c r="M39" i="3" s="1"/>
  <c r="M23" i="3"/>
  <c r="M24" i="3" s="1"/>
  <c r="M25" i="3" s="1"/>
  <c r="N25" i="3" s="1"/>
  <c r="B20" i="5"/>
  <c r="M15" i="5"/>
  <c r="M31" i="5"/>
  <c r="M32" i="5" s="1"/>
  <c r="M33" i="5" s="1"/>
  <c r="M37" i="5"/>
  <c r="M38" i="5" s="1"/>
  <c r="M39" i="5" s="1"/>
  <c r="M17" i="5"/>
  <c r="M23" i="5"/>
  <c r="M24" i="5" s="1"/>
  <c r="M25" i="5" s="1"/>
  <c r="N25" i="5" s="1"/>
  <c r="M38" i="6"/>
  <c r="M39" i="6" s="1"/>
  <c r="B20" i="4"/>
  <c r="M15" i="4"/>
  <c r="M17" i="4"/>
  <c r="M23" i="4"/>
  <c r="M24" i="4" s="1"/>
  <c r="M25" i="4" s="1"/>
  <c r="N25" i="4" s="1"/>
  <c r="M31" i="4"/>
  <c r="M32" i="4" s="1"/>
  <c r="M33" i="4" s="1"/>
  <c r="M37" i="4"/>
  <c r="M38" i="4" s="1"/>
  <c r="M39" i="4" s="1"/>
  <c r="M24" i="6"/>
  <c r="M25" i="6" s="1"/>
  <c r="N25" i="6" s="1"/>
  <c r="B20" i="6"/>
  <c r="M15" i="6"/>
  <c r="M18" i="6" s="1"/>
  <c r="M19" i="6" s="1"/>
  <c r="N19" i="6" s="1"/>
  <c r="B20" i="1"/>
  <c r="M15" i="1"/>
  <c r="M23" i="1"/>
  <c r="M24" i="1" s="1"/>
  <c r="M25" i="1" s="1"/>
  <c r="N25" i="1" s="1"/>
  <c r="M37" i="1"/>
  <c r="M38" i="1" s="1"/>
  <c r="M39" i="1" s="1"/>
  <c r="M18" i="1"/>
  <c r="M31" i="1"/>
  <c r="M32" i="1" s="1"/>
  <c r="M33" i="1" s="1"/>
  <c r="M18" i="7" l="1"/>
  <c r="M19" i="7" s="1"/>
  <c r="N19" i="7" s="1"/>
  <c r="M18" i="5"/>
  <c r="M19" i="5" s="1"/>
  <c r="N19" i="5" s="1"/>
  <c r="M18" i="3"/>
  <c r="M19" i="3" s="1"/>
  <c r="N19" i="3" s="1"/>
  <c r="M18" i="4"/>
  <c r="M19" i="4" s="1"/>
  <c r="N19" i="4" s="1"/>
  <c r="M19" i="1"/>
  <c r="N19" i="1" s="1"/>
</calcChain>
</file>

<file path=xl/sharedStrings.xml><?xml version="1.0" encoding="utf-8"?>
<sst xmlns="http://schemas.openxmlformats.org/spreadsheetml/2006/main" count="694" uniqueCount="61">
  <si>
    <t>Specifications</t>
  </si>
  <si>
    <t>Short Length,A</t>
  </si>
  <si>
    <t>Long Length,B</t>
  </si>
  <si>
    <t>Ratio,m</t>
  </si>
  <si>
    <t>Thickness</t>
  </si>
  <si>
    <t>t min</t>
  </si>
  <si>
    <t>t</t>
  </si>
  <si>
    <t>Load Calculation</t>
  </si>
  <si>
    <t>Dead Load</t>
  </si>
  <si>
    <t>Floor Finishing</t>
  </si>
  <si>
    <t>Live Load</t>
  </si>
  <si>
    <t>Design  DL</t>
  </si>
  <si>
    <t>Design LL</t>
  </si>
  <si>
    <t>Total Load,W</t>
  </si>
  <si>
    <t>inch</t>
  </si>
  <si>
    <t>Moment Calculation</t>
  </si>
  <si>
    <t>Negative Moment at continuous edge</t>
  </si>
  <si>
    <t>ft</t>
  </si>
  <si>
    <t>From ratio</t>
  </si>
  <si>
    <t xml:space="preserve">Positive Moments </t>
  </si>
  <si>
    <t>Negative Moment at discontinuous edge</t>
  </si>
  <si>
    <t>ft-lb</t>
  </si>
  <si>
    <t>Reinforcement Calculation</t>
  </si>
  <si>
    <t>Depth check</t>
  </si>
  <si>
    <t>d req</t>
  </si>
  <si>
    <t>d act</t>
  </si>
  <si>
    <t>in</t>
  </si>
  <si>
    <t xml:space="preserve"> Reinforcement Calculation</t>
  </si>
  <si>
    <t>d short</t>
  </si>
  <si>
    <t xml:space="preserve">d long </t>
  </si>
  <si>
    <t>Positive reinforccement</t>
  </si>
  <si>
    <t>Short As</t>
  </si>
  <si>
    <t>Long As</t>
  </si>
  <si>
    <t xml:space="preserve">As min </t>
  </si>
  <si>
    <t>Additional</t>
  </si>
  <si>
    <t>As req</t>
  </si>
  <si>
    <t>Negative reinforcement at continuous end</t>
  </si>
  <si>
    <t>Negative reinforcement at Discontinuous end</t>
  </si>
  <si>
    <t>Using #3 bars</t>
  </si>
  <si>
    <t>(-)Ca</t>
  </si>
  <si>
    <t>(-)Cb</t>
  </si>
  <si>
    <t>(-)Ma</t>
  </si>
  <si>
    <t>(-)Mb</t>
  </si>
  <si>
    <t>Ca (DL)</t>
  </si>
  <si>
    <t>Ca (LL)</t>
  </si>
  <si>
    <t>Cb (DL)</t>
  </si>
  <si>
    <t>Cb (LL)</t>
  </si>
  <si>
    <t>Ma (DL)</t>
  </si>
  <si>
    <t>Ma (LL)</t>
  </si>
  <si>
    <t>(+)Ma</t>
  </si>
  <si>
    <t>Mb (DL)</t>
  </si>
  <si>
    <t>Mb (LL)</t>
  </si>
  <si>
    <t>(+)Mb</t>
  </si>
  <si>
    <t>Spacing#3, s</t>
  </si>
  <si>
    <t>Case-9</t>
  </si>
  <si>
    <t>Case-8</t>
  </si>
  <si>
    <t>ok</t>
  </si>
  <si>
    <t>Case-6</t>
  </si>
  <si>
    <t>case-4</t>
  </si>
  <si>
    <t>Case-4</t>
  </si>
  <si>
    <t>Case-1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</si>
</sst>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0" applyFont="1"/>
    <xf numFmtId="0" fontId="3" fillId="2" borderId="0" xfId="0" applyFont="1" applyFill="1"/>
    <xf numFmtId="164" fontId="0" fillId="0" borderId="0" xfId="0" applyNumberFormat="1"/>
    <xf numFmtId="164" fontId="0" fillId="2" borderId="0" xfId="0" applyNumberFormat="1" applyFill="1"/>
    <xf numFmtId="2" fontId="1" fillId="2" borderId="0" xfId="0" applyNumberFormat="1" applyFont="1" applyFill="1"/>
    <xf numFmtId="2" fontId="0" fillId="0" borderId="0" xfId="0" applyNumberFormat="1"/>
    <xf numFmtId="2" fontId="0" fillId="2" borderId="0" xfId="0" applyNumberFormat="1" applyFill="1"/>
    <xf numFmtId="165" fontId="0" fillId="0" borderId="0" xfId="0" applyNumberFormat="1"/>
    <xf numFmtId="165" fontId="0" fillId="2" borderId="0" xfId="0" applyNumberFormat="1" applyFill="1"/>
    <xf numFmtId="0" fontId="0" fillId="3" borderId="0" xfId="0" applyFill="1"/>
    <xf numFmtId="164" fontId="0" fillId="3" borderId="0" xfId="0" applyNumberFormat="1" applyFill="1"/>
    <xf numFmtId="2" fontId="0" fillId="3" borderId="0" xfId="0" applyNumberFormat="1" applyFill="1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9"/>
  <sheetViews>
    <sheetView zoomScale="105" zoomScaleNormal="105" workbookViewId="0">
      <selection activeCell="C3" sqref="C3"/>
    </sheetView>
  </sheetViews>
  <sheetFormatPr defaultRowHeight="15" x14ac:dyDescent="0.25"/>
  <cols>
    <col min="3" max="3" width="9.5703125" bestFit="1" customWidth="1"/>
    <col min="12" max="12" width="13.7109375" customWidth="1"/>
    <col min="13" max="13" width="9.140625" style="10"/>
    <col min="14" max="14" width="9.140625" style="8"/>
  </cols>
  <sheetData>
    <row r="1" spans="1:14" x14ac:dyDescent="0.25">
      <c r="A1" s="1" t="s">
        <v>0</v>
      </c>
      <c r="B1" s="2"/>
      <c r="F1" s="1" t="s">
        <v>15</v>
      </c>
      <c r="G1" s="2"/>
      <c r="L1" s="1" t="s">
        <v>22</v>
      </c>
      <c r="M1" s="11"/>
      <c r="N1" s="7"/>
    </row>
    <row r="2" spans="1:14" x14ac:dyDescent="0.25">
      <c r="A2" t="s">
        <v>1</v>
      </c>
      <c r="C2">
        <v>9.66</v>
      </c>
      <c r="D2" t="s">
        <v>17</v>
      </c>
      <c r="F2" s="3" t="s">
        <v>16</v>
      </c>
    </row>
    <row r="3" spans="1:14" x14ac:dyDescent="0.25">
      <c r="A3" t="s">
        <v>2</v>
      </c>
      <c r="C3">
        <v>15.46</v>
      </c>
      <c r="D3" t="s">
        <v>17</v>
      </c>
      <c r="F3" t="s">
        <v>39</v>
      </c>
      <c r="G3">
        <v>8.4000000000000005E-2</v>
      </c>
      <c r="H3" t="s">
        <v>18</v>
      </c>
      <c r="L3" s="2" t="s">
        <v>27</v>
      </c>
      <c r="M3" s="11"/>
      <c r="N3" s="9"/>
    </row>
    <row r="4" spans="1:14" x14ac:dyDescent="0.25">
      <c r="A4" t="s">
        <v>3</v>
      </c>
      <c r="C4">
        <f>C2/C3</f>
        <v>0.62483829236739974</v>
      </c>
      <c r="D4" t="s">
        <v>54</v>
      </c>
      <c r="F4" t="s">
        <v>40</v>
      </c>
      <c r="G4">
        <v>7.0000000000000001E-3</v>
      </c>
      <c r="H4" t="s">
        <v>18</v>
      </c>
      <c r="L4" s="3" t="s">
        <v>30</v>
      </c>
    </row>
    <row r="5" spans="1:14" x14ac:dyDescent="0.25">
      <c r="F5" t="s">
        <v>41</v>
      </c>
      <c r="G5">
        <f>G3*C16*C2*C2</f>
        <v>1910.6369100000004</v>
      </c>
      <c r="H5" t="s">
        <v>21</v>
      </c>
      <c r="L5" t="s">
        <v>31</v>
      </c>
      <c r="M5" s="10">
        <f>((0.9*60000*B22)-SQRT(((0.9*60000*B22)^2)-((4*60000*60000*0.9*G15*12))/(2*0.85*3000*12)))/((2*60000*60000*0.9)/(2*0.85*3000*12))</f>
        <v>5.5000570191517585E-2</v>
      </c>
    </row>
    <row r="6" spans="1:14" x14ac:dyDescent="0.25">
      <c r="A6" t="s">
        <v>4</v>
      </c>
      <c r="C6">
        <f>(2*12*(C2+C3))/180</f>
        <v>3.3493333333333335</v>
      </c>
      <c r="F6" t="s">
        <v>42</v>
      </c>
      <c r="G6">
        <f>G4*C16*C3*C3</f>
        <v>407.8135425000001</v>
      </c>
      <c r="H6" t="s">
        <v>21</v>
      </c>
      <c r="L6" t="s">
        <v>33</v>
      </c>
      <c r="M6" s="10">
        <f>0.0018*12*C8</f>
        <v>0.10800000000000001</v>
      </c>
    </row>
    <row r="7" spans="1:14" x14ac:dyDescent="0.25">
      <c r="A7" t="s">
        <v>5</v>
      </c>
      <c r="C7">
        <v>3.5</v>
      </c>
      <c r="D7" t="s">
        <v>14</v>
      </c>
      <c r="L7" t="s">
        <v>53</v>
      </c>
      <c r="M7" s="10">
        <f>(0.11*12)/(IF(M6&gt;M5, M6, M5))</f>
        <v>12.222222222222221</v>
      </c>
      <c r="N7" s="8">
        <f>ROUNDDOWN(M7,0)</f>
        <v>12</v>
      </c>
    </row>
    <row r="8" spans="1:14" x14ac:dyDescent="0.25">
      <c r="A8" t="s">
        <v>6</v>
      </c>
      <c r="C8">
        <v>5</v>
      </c>
      <c r="D8" t="s">
        <v>14</v>
      </c>
      <c r="F8" s="3" t="s">
        <v>19</v>
      </c>
    </row>
    <row r="9" spans="1:14" x14ac:dyDescent="0.25">
      <c r="F9" t="s">
        <v>43</v>
      </c>
      <c r="G9">
        <v>3.5000000000000003E-2</v>
      </c>
      <c r="L9" t="s">
        <v>32</v>
      </c>
      <c r="M9" s="10">
        <f>((0.9*60000*B23)-SQRT(((0.9*60000*B23)^2)-((4*60000*60000*0.9*G18*12))/(2*0.85*3000*12)))/((2*60000*60000*0.9)/(2*0.85*3000*12))</f>
        <v>2.0803918954390991E-2</v>
      </c>
    </row>
    <row r="10" spans="1:14" x14ac:dyDescent="0.25">
      <c r="A10" s="1" t="s">
        <v>7</v>
      </c>
      <c r="B10" s="2"/>
      <c r="F10" t="s">
        <v>44</v>
      </c>
      <c r="G10">
        <v>5.6500000000000002E-2</v>
      </c>
      <c r="L10" t="s">
        <v>33</v>
      </c>
      <c r="M10" s="10">
        <f>M6</f>
        <v>0.10800000000000001</v>
      </c>
    </row>
    <row r="11" spans="1:14" x14ac:dyDescent="0.25">
      <c r="A11" t="s">
        <v>8</v>
      </c>
      <c r="C11">
        <f>(C8*150)/12</f>
        <v>62.5</v>
      </c>
      <c r="F11" t="s">
        <v>45</v>
      </c>
      <c r="G11">
        <v>4.4999999999999997E-3</v>
      </c>
      <c r="L11" t="s">
        <v>53</v>
      </c>
      <c r="M11" s="10">
        <f>(0.11*12)/(IF(M10&gt;M9, M10, M9))</f>
        <v>12.222222222222221</v>
      </c>
      <c r="N11" s="8">
        <f>ROUNDDOWN(M11,0)</f>
        <v>12</v>
      </c>
    </row>
    <row r="12" spans="1:14" x14ac:dyDescent="0.25">
      <c r="A12" t="s">
        <v>9</v>
      </c>
      <c r="C12">
        <v>40</v>
      </c>
      <c r="F12" t="s">
        <v>46</v>
      </c>
      <c r="G12">
        <v>8.0000000000000002E-3</v>
      </c>
    </row>
    <row r="13" spans="1:14" x14ac:dyDescent="0.25">
      <c r="A13" t="s">
        <v>10</v>
      </c>
      <c r="C13">
        <v>50</v>
      </c>
      <c r="F13" t="s">
        <v>47</v>
      </c>
      <c r="G13">
        <f>G9*C14*C2*C2</f>
        <v>502.15457250000009</v>
      </c>
    </row>
    <row r="14" spans="1:14" x14ac:dyDescent="0.25">
      <c r="A14" t="s">
        <v>11</v>
      </c>
      <c r="C14">
        <f>1.5*(C11+C12)</f>
        <v>153.75</v>
      </c>
      <c r="F14" t="s">
        <v>48</v>
      </c>
      <c r="G14">
        <f>G10*C15*C2*C2</f>
        <v>474.50982599999998</v>
      </c>
      <c r="L14" s="3" t="s">
        <v>36</v>
      </c>
    </row>
    <row r="15" spans="1:14" x14ac:dyDescent="0.25">
      <c r="A15" t="s">
        <v>12</v>
      </c>
      <c r="C15">
        <f>1.8*C13</f>
        <v>90</v>
      </c>
      <c r="F15" t="s">
        <v>49</v>
      </c>
      <c r="G15">
        <f>SUM(G13:G14)</f>
        <v>976.66439850000006</v>
      </c>
      <c r="H15" t="s">
        <v>21</v>
      </c>
      <c r="L15" t="s">
        <v>31</v>
      </c>
      <c r="M15" s="10">
        <f>((0.9*60000*B22)-SQRT(((0.9*60000*B22)^2)-((4*60000*60000*0.9*G5*12))/(2*0.85*3000*12)))/((2*60000*60000*0.9)/(2*0.85*3000*12))</f>
        <v>0.10906180823932131</v>
      </c>
    </row>
    <row r="16" spans="1:14" x14ac:dyDescent="0.25">
      <c r="A16" t="s">
        <v>13</v>
      </c>
      <c r="C16">
        <f>C14+C15</f>
        <v>243.75</v>
      </c>
      <c r="F16" t="s">
        <v>50</v>
      </c>
      <c r="G16">
        <f>G11*C3*C3*C14</f>
        <v>165.36615075</v>
      </c>
      <c r="L16" t="s">
        <v>33</v>
      </c>
      <c r="M16" s="10">
        <f>M6</f>
        <v>0.10800000000000001</v>
      </c>
    </row>
    <row r="17" spans="1:14" x14ac:dyDescent="0.25">
      <c r="F17" t="s">
        <v>51</v>
      </c>
      <c r="G17">
        <f>G12*C3*C3*C15</f>
        <v>172.08835200000004</v>
      </c>
      <c r="L17" t="s">
        <v>34</v>
      </c>
      <c r="M17" s="10">
        <f>(0.11*12)/(2*N7)</f>
        <v>5.5E-2</v>
      </c>
    </row>
    <row r="18" spans="1:14" x14ac:dyDescent="0.25">
      <c r="F18" t="s">
        <v>52</v>
      </c>
      <c r="G18">
        <f>G16+G17</f>
        <v>337.45450275000007</v>
      </c>
      <c r="H18" t="s">
        <v>21</v>
      </c>
      <c r="L18" t="s">
        <v>35</v>
      </c>
      <c r="M18" s="10">
        <f>(IF(M16&gt;M15, M16, M15))-M17</f>
        <v>5.4061808239321309E-2</v>
      </c>
    </row>
    <row r="19" spans="1:14" x14ac:dyDescent="0.25">
      <c r="A19" s="4" t="s">
        <v>23</v>
      </c>
      <c r="B19" s="2"/>
      <c r="L19" t="s">
        <v>53</v>
      </c>
      <c r="M19" s="10">
        <f>(0.11*12)/M18</f>
        <v>24.416497394179121</v>
      </c>
      <c r="N19" s="8">
        <f>ROUNDDOWN(M19,0)</f>
        <v>24</v>
      </c>
    </row>
    <row r="20" spans="1:14" x14ac:dyDescent="0.25">
      <c r="A20" t="s">
        <v>24</v>
      </c>
      <c r="B20">
        <f>SQRT((G5*12)/(0.9*701.232*12))</f>
        <v>1.7399507824772575</v>
      </c>
      <c r="C20" t="s">
        <v>26</v>
      </c>
      <c r="F20" s="3" t="s">
        <v>20</v>
      </c>
    </row>
    <row r="21" spans="1:14" x14ac:dyDescent="0.25">
      <c r="A21" t="s">
        <v>25</v>
      </c>
      <c r="B21">
        <f>C8-1</f>
        <v>4</v>
      </c>
      <c r="C21" t="s">
        <v>26</v>
      </c>
      <c r="L21" t="s">
        <v>32</v>
      </c>
      <c r="M21" s="10">
        <f>((0.9*60000*B23)-SQRT(((0.9*60000*B23)^2)-((4*60000*60000*0.9*G6*12))/(2*0.85*3000*12)))/((2*60000*60000*0.9)/(2*0.85*3000*12))</f>
        <v>2.5171423080431219E-2</v>
      </c>
    </row>
    <row r="22" spans="1:14" x14ac:dyDescent="0.25">
      <c r="A22" t="s">
        <v>28</v>
      </c>
      <c r="B22">
        <v>4</v>
      </c>
      <c r="F22" t="s">
        <v>41</v>
      </c>
      <c r="G22">
        <f>G15/3</f>
        <v>325.5547995</v>
      </c>
      <c r="H22" t="s">
        <v>21</v>
      </c>
      <c r="L22" t="s">
        <v>33</v>
      </c>
      <c r="M22" s="10">
        <f>M6</f>
        <v>0.10800000000000001</v>
      </c>
    </row>
    <row r="23" spans="1:14" x14ac:dyDescent="0.25">
      <c r="A23" t="s">
        <v>29</v>
      </c>
      <c r="B23">
        <f>B22-3/8</f>
        <v>3.625</v>
      </c>
      <c r="F23" t="s">
        <v>42</v>
      </c>
      <c r="G23">
        <f>G18/3</f>
        <v>112.48483425000002</v>
      </c>
      <c r="H23" t="s">
        <v>21</v>
      </c>
      <c r="L23" t="s">
        <v>34</v>
      </c>
      <c r="M23" s="10">
        <f>(0.11*12)/(2*N7)</f>
        <v>5.5E-2</v>
      </c>
    </row>
    <row r="24" spans="1:14" x14ac:dyDescent="0.25">
      <c r="L24" t="s">
        <v>35</v>
      </c>
      <c r="M24" s="10">
        <f>(IF(M22&gt;M21, M22, M21))-M23</f>
        <v>5.3000000000000012E-2</v>
      </c>
    </row>
    <row r="25" spans="1:14" x14ac:dyDescent="0.25">
      <c r="L25" t="s">
        <v>53</v>
      </c>
      <c r="M25" s="10">
        <f>(0.11*12)/M24</f>
        <v>24.905660377358487</v>
      </c>
      <c r="N25" s="8">
        <f>ROUNDDOWN(M25,0)</f>
        <v>24</v>
      </c>
    </row>
    <row r="28" spans="1:14" x14ac:dyDescent="0.25">
      <c r="L28" s="3" t="s">
        <v>37</v>
      </c>
    </row>
    <row r="29" spans="1:14" x14ac:dyDescent="0.25">
      <c r="F29" t="s">
        <v>56</v>
      </c>
      <c r="L29" t="s">
        <v>31</v>
      </c>
      <c r="M29" s="10">
        <f>((0.9*60000*B22)-SQRT(((0.9*60000*B22)^2)-((4*60000*60000*0.9*G22*12))/(2*0.85*3000*12)))/((2*60000*60000*0.9)/(2*0.85*3000*12))</f>
        <v>1.8167272304654775E-2</v>
      </c>
    </row>
    <row r="30" spans="1:14" x14ac:dyDescent="0.25">
      <c r="L30" t="s">
        <v>33</v>
      </c>
      <c r="M30" s="10">
        <f>M6</f>
        <v>0.10800000000000001</v>
      </c>
    </row>
    <row r="31" spans="1:14" x14ac:dyDescent="0.25">
      <c r="L31" t="s">
        <v>34</v>
      </c>
      <c r="M31" s="10">
        <f>(0.11*12)/(2*N7)</f>
        <v>5.5E-2</v>
      </c>
    </row>
    <row r="32" spans="1:14" x14ac:dyDescent="0.25">
      <c r="L32" t="s">
        <v>35</v>
      </c>
      <c r="M32" s="10">
        <f>(IF(M30&gt;M29, M30, M29))-M31</f>
        <v>5.3000000000000012E-2</v>
      </c>
    </row>
    <row r="33" spans="12:14" x14ac:dyDescent="0.25">
      <c r="L33" t="s">
        <v>53</v>
      </c>
      <c r="M33" s="10">
        <f>(0.11*12)/M32</f>
        <v>24.905660377358487</v>
      </c>
      <c r="N33" s="8">
        <v>24</v>
      </c>
    </row>
    <row r="35" spans="12:14" x14ac:dyDescent="0.25">
      <c r="L35" t="s">
        <v>32</v>
      </c>
      <c r="M35" s="10">
        <f>((0.9*60000*B23)-SQRT(((0.9*60000*B23)^2)-((4*60000*60000*0.9*G23*12))/(2*0.85*3000*12)))/((2*60000*60000*0.9)/(2*0.85*3000*12))</f>
        <v>6.9085301470705107E-3</v>
      </c>
    </row>
    <row r="36" spans="12:14" x14ac:dyDescent="0.25">
      <c r="L36" t="s">
        <v>33</v>
      </c>
      <c r="M36" s="10">
        <f>M6</f>
        <v>0.10800000000000001</v>
      </c>
    </row>
    <row r="37" spans="12:14" x14ac:dyDescent="0.25">
      <c r="L37" t="s">
        <v>34</v>
      </c>
      <c r="M37" s="10">
        <f>(0.11*12)/(2*N7)</f>
        <v>5.5E-2</v>
      </c>
    </row>
    <row r="38" spans="12:14" x14ac:dyDescent="0.25">
      <c r="L38" t="s">
        <v>35</v>
      </c>
      <c r="M38" s="10">
        <f>(IF(M36&gt;M35, M36, M35))-M37</f>
        <v>5.3000000000000012E-2</v>
      </c>
    </row>
    <row r="39" spans="12:14" x14ac:dyDescent="0.25">
      <c r="L39" t="s">
        <v>53</v>
      </c>
      <c r="M39" s="10">
        <f>(0.11*12)/M38</f>
        <v>24.905660377358487</v>
      </c>
      <c r="N39" s="8">
        <v>24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D5809-7615-4D06-B999-7CA0D86DDD9F}">
  <sheetPr>
    <tabColor rgb="FF00B050"/>
  </sheetPr>
  <dimension ref="A1:N39"/>
  <sheetViews>
    <sheetView workbookViewId="0">
      <selection activeCell="G9" sqref="G9"/>
    </sheetView>
  </sheetViews>
  <sheetFormatPr defaultRowHeight="15" x14ac:dyDescent="0.25"/>
  <sheetData>
    <row r="1" spans="1:14" x14ac:dyDescent="0.25">
      <c r="A1" s="1" t="s">
        <v>0</v>
      </c>
      <c r="B1" s="2"/>
      <c r="F1" s="1" t="s">
        <v>15</v>
      </c>
      <c r="G1" s="2"/>
      <c r="L1" s="1" t="s">
        <v>22</v>
      </c>
      <c r="M1" s="6"/>
      <c r="N1" s="7"/>
    </row>
    <row r="2" spans="1:14" x14ac:dyDescent="0.25">
      <c r="A2" t="s">
        <v>1</v>
      </c>
      <c r="C2">
        <v>11</v>
      </c>
      <c r="D2" t="s">
        <v>17</v>
      </c>
      <c r="F2" s="3" t="s">
        <v>16</v>
      </c>
      <c r="M2" s="5"/>
      <c r="N2" s="8"/>
    </row>
    <row r="3" spans="1:14" x14ac:dyDescent="0.25">
      <c r="A3" t="s">
        <v>2</v>
      </c>
      <c r="C3">
        <v>15.46</v>
      </c>
      <c r="D3" t="s">
        <v>17</v>
      </c>
      <c r="F3" t="s">
        <v>39</v>
      </c>
      <c r="G3">
        <v>0.08</v>
      </c>
      <c r="H3" t="s">
        <v>18</v>
      </c>
      <c r="L3" s="2" t="s">
        <v>27</v>
      </c>
      <c r="M3" s="6"/>
      <c r="N3" s="9"/>
    </row>
    <row r="4" spans="1:14" x14ac:dyDescent="0.25">
      <c r="A4" t="s">
        <v>3</v>
      </c>
      <c r="C4">
        <f>C2/C3</f>
        <v>0.71151358344113835</v>
      </c>
      <c r="D4" t="s">
        <v>58</v>
      </c>
      <c r="F4" t="s">
        <v>40</v>
      </c>
      <c r="G4">
        <v>2.0199999999999999E-2</v>
      </c>
      <c r="H4" t="s">
        <v>18</v>
      </c>
      <c r="L4" s="3" t="s">
        <v>30</v>
      </c>
      <c r="M4" s="5"/>
      <c r="N4" s="8"/>
    </row>
    <row r="5" spans="1:14" x14ac:dyDescent="0.25">
      <c r="F5" t="s">
        <v>41</v>
      </c>
      <c r="G5">
        <f>G3*C16*C2*C2</f>
        <v>2359.5</v>
      </c>
      <c r="H5" t="s">
        <v>21</v>
      </c>
      <c r="L5" t="s">
        <v>31</v>
      </c>
      <c r="M5" s="5">
        <f>((0.9*60000*B22)-SQRT(((0.9*60000*B22)^2)-((4*60000*60000*0.9*G15*12))/(2*0.85*3000*12)))/((2*60000*60000*0.9)/(2*0.85*3000*12))</f>
        <v>8.2362062331238911E-2</v>
      </c>
      <c r="N5" s="8"/>
    </row>
    <row r="6" spans="1:14" x14ac:dyDescent="0.25">
      <c r="A6" t="s">
        <v>4</v>
      </c>
      <c r="C6">
        <f>(2*12*(C2+C3))/180</f>
        <v>3.5279999999999996</v>
      </c>
      <c r="F6" t="s">
        <v>42</v>
      </c>
      <c r="G6">
        <f>G4*C16*C3*C3</f>
        <v>1176.8333655000001</v>
      </c>
      <c r="H6" t="s">
        <v>21</v>
      </c>
      <c r="L6" t="s">
        <v>33</v>
      </c>
      <c r="M6" s="5">
        <f>0.0018*12*C8</f>
        <v>0.10800000000000001</v>
      </c>
      <c r="N6" s="8"/>
    </row>
    <row r="7" spans="1:14" x14ac:dyDescent="0.25">
      <c r="A7" t="s">
        <v>5</v>
      </c>
      <c r="C7">
        <v>3.5</v>
      </c>
      <c r="D7" t="s">
        <v>14</v>
      </c>
      <c r="L7" t="s">
        <v>53</v>
      </c>
      <c r="M7" s="5">
        <f>(0.11*12)/(IF(M6&gt;M5, M6, M5))</f>
        <v>12.222222222222221</v>
      </c>
      <c r="N7" s="8">
        <f>ROUNDDOWN(M7,0)</f>
        <v>12</v>
      </c>
    </row>
    <row r="8" spans="1:14" x14ac:dyDescent="0.25">
      <c r="A8" t="s">
        <v>6</v>
      </c>
      <c r="C8">
        <v>5</v>
      </c>
      <c r="D8" t="s">
        <v>14</v>
      </c>
      <c r="F8" s="3" t="s">
        <v>19</v>
      </c>
      <c r="M8" s="5"/>
      <c r="N8" s="8"/>
    </row>
    <row r="9" spans="1:14" x14ac:dyDescent="0.25">
      <c r="F9" t="s">
        <v>43</v>
      </c>
      <c r="G9">
        <v>4.53E-2</v>
      </c>
      <c r="L9" t="s">
        <v>32</v>
      </c>
      <c r="M9" s="5">
        <f>((0.9*60000*B23)-SQRT(((0.9*60000*B23)^2)-((4*60000*60000*0.9*G18*12))/(2*0.85*3000*12)))/((2*60000*60000*0.9)/(2*0.85*3000*12))</f>
        <v>4.5589702846693787E-2</v>
      </c>
      <c r="N9" s="8"/>
    </row>
    <row r="10" spans="1:14" x14ac:dyDescent="0.25">
      <c r="A10" s="1" t="s">
        <v>7</v>
      </c>
      <c r="B10" s="2"/>
      <c r="F10" t="s">
        <v>44</v>
      </c>
      <c r="G10">
        <v>5.6000000000000001E-2</v>
      </c>
      <c r="L10" t="s">
        <v>33</v>
      </c>
      <c r="M10" s="5">
        <f>M6</f>
        <v>0.10800000000000001</v>
      </c>
      <c r="N10" s="8"/>
    </row>
    <row r="11" spans="1:14" x14ac:dyDescent="0.25">
      <c r="A11" t="s">
        <v>8</v>
      </c>
      <c r="C11">
        <f>(C8*150)/12</f>
        <v>62.5</v>
      </c>
      <c r="F11" t="s">
        <v>45</v>
      </c>
      <c r="G11">
        <v>1.15E-2</v>
      </c>
      <c r="L11" t="s">
        <v>53</v>
      </c>
      <c r="M11" s="5">
        <f>(0.11*12)/(IF(M10&gt;M9, M10, M9))</f>
        <v>12.222222222222221</v>
      </c>
      <c r="N11" s="8">
        <f>ROUNDDOWN(M11,0)</f>
        <v>12</v>
      </c>
    </row>
    <row r="12" spans="1:14" x14ac:dyDescent="0.25">
      <c r="A12" t="s">
        <v>9</v>
      </c>
      <c r="C12">
        <v>40</v>
      </c>
      <c r="F12" t="s">
        <v>46</v>
      </c>
      <c r="G12">
        <v>1.4500000000000001E-2</v>
      </c>
      <c r="M12" s="5"/>
      <c r="N12" s="8"/>
    </row>
    <row r="13" spans="1:14" x14ac:dyDescent="0.25">
      <c r="A13" t="s">
        <v>10</v>
      </c>
      <c r="C13">
        <v>50</v>
      </c>
      <c r="F13" t="s">
        <v>47</v>
      </c>
      <c r="G13">
        <f>G9*C14*C2*C2</f>
        <v>842.74987499999997</v>
      </c>
      <c r="M13" s="5"/>
      <c r="N13" s="8"/>
    </row>
    <row r="14" spans="1:14" x14ac:dyDescent="0.25">
      <c r="A14" t="s">
        <v>11</v>
      </c>
      <c r="C14">
        <f>1.5*(C11+C12)</f>
        <v>153.75</v>
      </c>
      <c r="F14" t="s">
        <v>48</v>
      </c>
      <c r="G14">
        <f>G10*C15*C2*C2</f>
        <v>609.83999999999992</v>
      </c>
      <c r="L14" s="3" t="s">
        <v>36</v>
      </c>
      <c r="M14" s="5"/>
      <c r="N14" s="8"/>
    </row>
    <row r="15" spans="1:14" x14ac:dyDescent="0.25">
      <c r="A15" t="s">
        <v>12</v>
      </c>
      <c r="C15">
        <f>1.8*C13</f>
        <v>90</v>
      </c>
      <c r="F15" t="s">
        <v>49</v>
      </c>
      <c r="G15">
        <f>SUM(G13:G14)</f>
        <v>1452.5898749999999</v>
      </c>
      <c r="H15" t="s">
        <v>21</v>
      </c>
      <c r="L15" t="s">
        <v>31</v>
      </c>
      <c r="M15" s="5">
        <f>((0.9*60000*B22)-SQRT(((0.9*60000*B22)^2)-((4*60000*60000*0.9*G5*12))/(2*0.85*3000*12)))/((2*60000*60000*0.9)/(2*0.85*3000*12))</f>
        <v>0.13558933000258577</v>
      </c>
      <c r="N15" s="8"/>
    </row>
    <row r="16" spans="1:14" x14ac:dyDescent="0.25">
      <c r="A16" t="s">
        <v>13</v>
      </c>
      <c r="C16">
        <f>C14+C15</f>
        <v>243.75</v>
      </c>
      <c r="F16" t="s">
        <v>50</v>
      </c>
      <c r="G16">
        <f>G11*C3*C3*C14</f>
        <v>422.60238525</v>
      </c>
      <c r="L16" t="s">
        <v>33</v>
      </c>
      <c r="M16" s="5">
        <f>M6</f>
        <v>0.10800000000000001</v>
      </c>
      <c r="N16" s="8"/>
    </row>
    <row r="17" spans="1:14" x14ac:dyDescent="0.25">
      <c r="F17" t="s">
        <v>51</v>
      </c>
      <c r="G17">
        <f>G12*C3*C3*C15</f>
        <v>311.91013800000007</v>
      </c>
      <c r="L17" t="s">
        <v>34</v>
      </c>
      <c r="M17" s="5">
        <f>(0.11*12)/(2*N7)</f>
        <v>5.5E-2</v>
      </c>
      <c r="N17" s="8"/>
    </row>
    <row r="18" spans="1:14" x14ac:dyDescent="0.25">
      <c r="F18" t="s">
        <v>52</v>
      </c>
      <c r="G18">
        <f>G16+G17</f>
        <v>734.51252325000007</v>
      </c>
      <c r="H18" t="s">
        <v>21</v>
      </c>
      <c r="L18" t="s">
        <v>35</v>
      </c>
      <c r="M18" s="5">
        <f>(IF(M16&gt;M15, M16, M15))-M17</f>
        <v>8.0589330002585779E-2</v>
      </c>
      <c r="N18" s="8"/>
    </row>
    <row r="19" spans="1:14" x14ac:dyDescent="0.25">
      <c r="A19" s="4" t="s">
        <v>23</v>
      </c>
      <c r="B19" s="2"/>
      <c r="L19" t="s">
        <v>53</v>
      </c>
      <c r="M19" s="5">
        <f>(0.11*12)/M18</f>
        <v>16.379339547278118</v>
      </c>
      <c r="N19" s="8">
        <f>ROUNDDOWN(M19,0)</f>
        <v>16</v>
      </c>
    </row>
    <row r="20" spans="1:14" x14ac:dyDescent="0.25">
      <c r="A20" t="s">
        <v>24</v>
      </c>
      <c r="B20">
        <f>SQRT((G5*12)/(0.9*701.232*12))</f>
        <v>1.9335609783654804</v>
      </c>
      <c r="C20" t="s">
        <v>26</v>
      </c>
      <c r="F20" s="3" t="s">
        <v>20</v>
      </c>
      <c r="M20" s="5"/>
      <c r="N20" s="8"/>
    </row>
    <row r="21" spans="1:14" x14ac:dyDescent="0.25">
      <c r="A21" t="s">
        <v>25</v>
      </c>
      <c r="B21">
        <f>C8-1</f>
        <v>4</v>
      </c>
      <c r="C21" t="s">
        <v>26</v>
      </c>
      <c r="L21" t="s">
        <v>32</v>
      </c>
      <c r="M21" s="5">
        <f>((0.9*60000*B23)-SQRT(((0.9*60000*B23)^2)-((4*60000*60000*0.9*G6*12))/(2*0.85*3000*12)))/((2*60000*60000*0.9)/(2*0.85*3000*12))</f>
        <v>7.3608409500808186E-2</v>
      </c>
      <c r="N21" s="8"/>
    </row>
    <row r="22" spans="1:14" x14ac:dyDescent="0.25">
      <c r="A22" t="s">
        <v>28</v>
      </c>
      <c r="B22">
        <v>4</v>
      </c>
      <c r="F22" t="s">
        <v>41</v>
      </c>
      <c r="G22">
        <f>G15/3</f>
        <v>484.19662499999998</v>
      </c>
      <c r="H22" t="s">
        <v>21</v>
      </c>
      <c r="L22" t="s">
        <v>33</v>
      </c>
      <c r="M22" s="5">
        <f>M6</f>
        <v>0.10800000000000001</v>
      </c>
      <c r="N22" s="8"/>
    </row>
    <row r="23" spans="1:14" x14ac:dyDescent="0.25">
      <c r="A23" t="s">
        <v>29</v>
      </c>
      <c r="B23">
        <v>3.625</v>
      </c>
      <c r="F23" t="s">
        <v>42</v>
      </c>
      <c r="G23">
        <f>G18/3</f>
        <v>244.83750775000001</v>
      </c>
      <c r="H23" t="s">
        <v>21</v>
      </c>
      <c r="L23" t="s">
        <v>34</v>
      </c>
      <c r="M23" s="5">
        <f>(0.11*12)/(2*N7)</f>
        <v>5.5E-2</v>
      </c>
      <c r="N23" s="8"/>
    </row>
    <row r="24" spans="1:14" x14ac:dyDescent="0.25">
      <c r="L24" t="s">
        <v>35</v>
      </c>
      <c r="M24" s="5">
        <f>(IF(M22&gt;M21, M22, M21))-M23</f>
        <v>5.3000000000000012E-2</v>
      </c>
      <c r="N24" s="8"/>
    </row>
    <row r="25" spans="1:14" x14ac:dyDescent="0.25">
      <c r="L25" t="s">
        <v>53</v>
      </c>
      <c r="M25" s="5">
        <f>(0.11*12)/M24</f>
        <v>24.905660377358487</v>
      </c>
      <c r="N25" s="8">
        <f>ROUNDDOWN(M25,0)</f>
        <v>24</v>
      </c>
    </row>
    <row r="26" spans="1:14" x14ac:dyDescent="0.25">
      <c r="M26" s="5"/>
      <c r="N26" s="8"/>
    </row>
    <row r="27" spans="1:14" x14ac:dyDescent="0.25">
      <c r="M27" s="5"/>
      <c r="N27" s="8"/>
    </row>
    <row r="28" spans="1:14" x14ac:dyDescent="0.25">
      <c r="L28" s="3" t="s">
        <v>37</v>
      </c>
      <c r="M28" s="5"/>
      <c r="N28" s="8"/>
    </row>
    <row r="29" spans="1:14" x14ac:dyDescent="0.25">
      <c r="G29" t="s">
        <v>56</v>
      </c>
      <c r="L29" t="s">
        <v>31</v>
      </c>
      <c r="M29" s="5">
        <f>((0.9*60000*B22)-SQRT(((0.9*60000*B22)^2)-((4*60000*60000*0.9*G22*12))/(2*0.85*3000*12)))/((2*60000*60000*0.9)/(2*0.85*3000*12))</f>
        <v>2.7079543300331892E-2</v>
      </c>
      <c r="N29" s="8"/>
    </row>
    <row r="30" spans="1:14" x14ac:dyDescent="0.25">
      <c r="L30" t="s">
        <v>33</v>
      </c>
      <c r="M30" s="5">
        <f>M6</f>
        <v>0.10800000000000001</v>
      </c>
      <c r="N30" s="8"/>
    </row>
    <row r="31" spans="1:14" x14ac:dyDescent="0.25">
      <c r="L31" t="s">
        <v>34</v>
      </c>
      <c r="M31" s="5">
        <f>(0.11*12)/(2*N7)</f>
        <v>5.5E-2</v>
      </c>
      <c r="N31" s="8"/>
    </row>
    <row r="32" spans="1:14" x14ac:dyDescent="0.25">
      <c r="L32" t="s">
        <v>35</v>
      </c>
      <c r="M32" s="5">
        <f>(IF(M30&gt;M29, M30, M29))-M31</f>
        <v>5.3000000000000012E-2</v>
      </c>
      <c r="N32" s="8"/>
    </row>
    <row r="33" spans="12:14" x14ac:dyDescent="0.25">
      <c r="L33" t="s">
        <v>53</v>
      </c>
      <c r="M33" s="5">
        <f>(0.11*12)/M32</f>
        <v>24.905660377358487</v>
      </c>
      <c r="N33" s="8">
        <v>24</v>
      </c>
    </row>
    <row r="34" spans="12:14" x14ac:dyDescent="0.25">
      <c r="M34" s="5"/>
      <c r="N34" s="8"/>
    </row>
    <row r="35" spans="12:14" x14ac:dyDescent="0.25">
      <c r="L35" t="s">
        <v>32</v>
      </c>
      <c r="M35" s="5">
        <f>((0.9*60000*B23)-SQRT(((0.9*60000*B23)^2)-((4*60000*60000*0.9*G23*12))/(2*0.85*3000*12)))/((2*60000*60000*0.9)/(2*0.85*3000*12))</f>
        <v>1.5070622152462181E-2</v>
      </c>
      <c r="N35" s="8"/>
    </row>
    <row r="36" spans="12:14" x14ac:dyDescent="0.25">
      <c r="L36" t="s">
        <v>33</v>
      </c>
      <c r="M36" s="5">
        <f>M6</f>
        <v>0.10800000000000001</v>
      </c>
      <c r="N36" s="8"/>
    </row>
    <row r="37" spans="12:14" x14ac:dyDescent="0.25">
      <c r="L37" t="s">
        <v>34</v>
      </c>
      <c r="M37" s="5">
        <f>(0.11*12)/(2*N7)</f>
        <v>5.5E-2</v>
      </c>
      <c r="N37" s="8"/>
    </row>
    <row r="38" spans="12:14" x14ac:dyDescent="0.25">
      <c r="L38" t="s">
        <v>35</v>
      </c>
      <c r="M38" s="5">
        <f>(IF(M36&gt;M35, M36, M35))-M37</f>
        <v>5.3000000000000012E-2</v>
      </c>
      <c r="N38" s="8"/>
    </row>
    <row r="39" spans="12:14" x14ac:dyDescent="0.25">
      <c r="L39" t="s">
        <v>53</v>
      </c>
      <c r="M39" s="5">
        <f>(0.11*12)/M38</f>
        <v>24.905660377358487</v>
      </c>
      <c r="N39" s="8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DCE1F-F8D0-474B-A10A-2FDD57A0B754}">
  <sheetPr>
    <tabColor rgb="FF00B050"/>
  </sheetPr>
  <dimension ref="A1:S39"/>
  <sheetViews>
    <sheetView workbookViewId="0">
      <selection activeCell="G12" sqref="G12"/>
    </sheetView>
  </sheetViews>
  <sheetFormatPr defaultRowHeight="15" x14ac:dyDescent="0.25"/>
  <sheetData>
    <row r="1" spans="1:19" x14ac:dyDescent="0.25">
      <c r="A1" s="1" t="s">
        <v>0</v>
      </c>
      <c r="B1" s="2"/>
      <c r="F1" s="1" t="s">
        <v>15</v>
      </c>
      <c r="G1" s="2"/>
      <c r="L1" s="1" t="s">
        <v>22</v>
      </c>
      <c r="M1" s="6"/>
      <c r="N1" s="7"/>
    </row>
    <row r="2" spans="1:19" x14ac:dyDescent="0.25">
      <c r="A2" t="s">
        <v>1</v>
      </c>
      <c r="C2">
        <v>10.75</v>
      </c>
      <c r="D2" t="s">
        <v>17</v>
      </c>
      <c r="F2" s="3" t="s">
        <v>16</v>
      </c>
      <c r="M2" s="5"/>
      <c r="N2" s="8"/>
    </row>
    <row r="3" spans="1:19" x14ac:dyDescent="0.25">
      <c r="A3" t="s">
        <v>2</v>
      </c>
      <c r="C3">
        <v>15.46</v>
      </c>
      <c r="D3" t="s">
        <v>17</v>
      </c>
      <c r="F3" t="s">
        <v>39</v>
      </c>
      <c r="G3">
        <v>8.14E-2</v>
      </c>
      <c r="H3" t="s">
        <v>18</v>
      </c>
      <c r="L3" s="2" t="s">
        <v>27</v>
      </c>
      <c r="M3" s="6"/>
      <c r="N3" s="9"/>
    </row>
    <row r="4" spans="1:19" x14ac:dyDescent="0.25">
      <c r="A4" t="s">
        <v>3</v>
      </c>
      <c r="C4">
        <f>C2/C3</f>
        <v>0.69534282018111249</v>
      </c>
      <c r="D4" t="s">
        <v>59</v>
      </c>
      <c r="F4" t="s">
        <v>40</v>
      </c>
      <c r="G4">
        <v>1.9E-2</v>
      </c>
      <c r="H4" t="s">
        <v>18</v>
      </c>
      <c r="L4" s="3" t="s">
        <v>30</v>
      </c>
      <c r="M4" s="5"/>
      <c r="N4" s="8"/>
    </row>
    <row r="5" spans="1:19" x14ac:dyDescent="0.25">
      <c r="F5" t="s">
        <v>41</v>
      </c>
      <c r="G5" s="8">
        <f>G3*C16*C2*C2</f>
        <v>2292.9044531249997</v>
      </c>
      <c r="H5" t="s">
        <v>21</v>
      </c>
      <c r="L5" t="s">
        <v>31</v>
      </c>
      <c r="M5" s="5">
        <f>((0.9*60000*B22)-SQRT(((0.9*60000*B22)^2)-((4*60000*60000*0.9*G15*12))/(2*0.85*3000*12)))/((2*60000*60000*0.9)/(2*0.85*3000*12))</f>
        <v>8.0618464285222305E-2</v>
      </c>
      <c r="N5" s="8"/>
    </row>
    <row r="6" spans="1:19" x14ac:dyDescent="0.25">
      <c r="A6" t="s">
        <v>4</v>
      </c>
      <c r="C6">
        <f>(2*12*(C2+C3))/180</f>
        <v>3.4946666666666664</v>
      </c>
      <c r="F6" t="s">
        <v>42</v>
      </c>
      <c r="G6" s="8">
        <f>G4*C16*C3*C3</f>
        <v>1106.9224725000001</v>
      </c>
      <c r="H6" t="s">
        <v>21</v>
      </c>
      <c r="L6" t="s">
        <v>33</v>
      </c>
      <c r="M6" s="5">
        <f>0.0018*12*C8</f>
        <v>0.10800000000000001</v>
      </c>
      <c r="N6" s="8"/>
    </row>
    <row r="7" spans="1:19" x14ac:dyDescent="0.25">
      <c r="A7" t="s">
        <v>5</v>
      </c>
      <c r="C7">
        <v>3.5</v>
      </c>
      <c r="D7" t="s">
        <v>14</v>
      </c>
      <c r="L7" t="s">
        <v>53</v>
      </c>
      <c r="M7" s="5">
        <f>(0.11*12)/(IF(M6&gt;M5, M6, M5))</f>
        <v>12.222222222222221</v>
      </c>
      <c r="N7" s="8">
        <f>ROUNDDOWN(M7,0)</f>
        <v>12</v>
      </c>
    </row>
    <row r="8" spans="1:19" x14ac:dyDescent="0.25">
      <c r="A8" t="s">
        <v>6</v>
      </c>
      <c r="C8">
        <v>5</v>
      </c>
      <c r="D8" t="s">
        <v>14</v>
      </c>
      <c r="F8" s="3" t="s">
        <v>19</v>
      </c>
      <c r="M8" s="5"/>
      <c r="N8" s="8"/>
    </row>
    <row r="9" spans="1:19" x14ac:dyDescent="0.25">
      <c r="F9" t="s">
        <v>43</v>
      </c>
      <c r="G9">
        <v>4.6399999999999997E-2</v>
      </c>
      <c r="L9" t="s">
        <v>32</v>
      </c>
      <c r="M9" s="5">
        <f>((0.9*60000*B23)-SQRT(((0.9*60000*B23)^2)-((4*60000*60000*0.9*G18*12))/(2*0.85*3000*12)))/((2*60000*60000*0.9)/(2*0.85*3000*12))</f>
        <v>4.3354612924913737E-2</v>
      </c>
      <c r="N9" s="8"/>
    </row>
    <row r="10" spans="1:19" x14ac:dyDescent="0.25">
      <c r="A10" s="1" t="s">
        <v>7</v>
      </c>
      <c r="B10" s="2"/>
      <c r="F10" t="s">
        <v>44</v>
      </c>
      <c r="G10">
        <v>5.7500000000000002E-2</v>
      </c>
      <c r="L10" t="s">
        <v>33</v>
      </c>
      <c r="M10" s="5">
        <f>M6</f>
        <v>0.10800000000000001</v>
      </c>
      <c r="N10" s="8"/>
    </row>
    <row r="11" spans="1:19" x14ac:dyDescent="0.25">
      <c r="A11" t="s">
        <v>8</v>
      </c>
      <c r="C11">
        <f>(C8*150)/12</f>
        <v>62.5</v>
      </c>
      <c r="F11" t="s">
        <v>45</v>
      </c>
      <c r="G11">
        <v>1.0999999999999999E-2</v>
      </c>
      <c r="L11" t="s">
        <v>53</v>
      </c>
      <c r="M11" s="5">
        <f>(0.11*12)/(IF(M10&gt;M9, M10, M9))</f>
        <v>12.222222222222221</v>
      </c>
      <c r="N11" s="8">
        <f>ROUNDDOWN(M11,0)</f>
        <v>12</v>
      </c>
      <c r="R11" s="2" t="s">
        <v>38</v>
      </c>
      <c r="S11" s="2"/>
    </row>
    <row r="12" spans="1:19" x14ac:dyDescent="0.25">
      <c r="A12" t="s">
        <v>9</v>
      </c>
      <c r="C12">
        <v>40</v>
      </c>
      <c r="F12" t="s">
        <v>46</v>
      </c>
      <c r="G12">
        <v>1.37E-2</v>
      </c>
      <c r="M12" s="5"/>
      <c r="N12" s="8"/>
    </row>
    <row r="13" spans="1:19" x14ac:dyDescent="0.25">
      <c r="A13" t="s">
        <v>10</v>
      </c>
      <c r="C13">
        <v>50</v>
      </c>
      <c r="F13" t="s">
        <v>47</v>
      </c>
      <c r="G13">
        <f>G9*C14*C2*C2</f>
        <v>824.42287499999998</v>
      </c>
      <c r="M13" s="5"/>
      <c r="N13" s="8"/>
    </row>
    <row r="14" spans="1:19" x14ac:dyDescent="0.25">
      <c r="A14" t="s">
        <v>11</v>
      </c>
      <c r="C14">
        <f>1.5*(C11+C12)</f>
        <v>153.75</v>
      </c>
      <c r="F14" t="s">
        <v>48</v>
      </c>
      <c r="G14">
        <f>G10*C15*C2*C2</f>
        <v>598.03593750000005</v>
      </c>
      <c r="L14" s="3" t="s">
        <v>36</v>
      </c>
      <c r="M14" s="5"/>
      <c r="N14" s="8"/>
    </row>
    <row r="15" spans="1:19" x14ac:dyDescent="0.25">
      <c r="A15" t="s">
        <v>12</v>
      </c>
      <c r="C15">
        <f>1.8*C13</f>
        <v>90</v>
      </c>
      <c r="F15" t="s">
        <v>49</v>
      </c>
      <c r="G15" s="8">
        <f>SUM(G13:G14)</f>
        <v>1422.4588125</v>
      </c>
      <c r="H15" t="s">
        <v>21</v>
      </c>
      <c r="L15" t="s">
        <v>31</v>
      </c>
      <c r="M15" s="5">
        <f>((0.9*60000*B22)-SQRT(((0.9*60000*B22)^2)-((4*60000*60000*0.9*G5*12))/(2*0.85*3000*12)))/((2*60000*60000*0.9)/(2*0.85*3000*12))</f>
        <v>0.13163027936801511</v>
      </c>
      <c r="N15" s="8"/>
    </row>
    <row r="16" spans="1:19" x14ac:dyDescent="0.25">
      <c r="A16" t="s">
        <v>13</v>
      </c>
      <c r="C16">
        <f>C14+C15</f>
        <v>243.75</v>
      </c>
      <c r="F16" t="s">
        <v>50</v>
      </c>
      <c r="G16">
        <f>G11*C3*C3*C14</f>
        <v>404.22836849999999</v>
      </c>
      <c r="L16" t="s">
        <v>33</v>
      </c>
      <c r="M16" s="5">
        <f>M6</f>
        <v>0.10800000000000001</v>
      </c>
      <c r="N16" s="8"/>
    </row>
    <row r="17" spans="1:14" x14ac:dyDescent="0.25">
      <c r="F17" t="s">
        <v>51</v>
      </c>
      <c r="G17">
        <f>G12*C3*C3*C15</f>
        <v>294.70130280000001</v>
      </c>
      <c r="L17" t="s">
        <v>34</v>
      </c>
      <c r="M17" s="5">
        <f>(0.11*12)/(2*N7)</f>
        <v>5.5E-2</v>
      </c>
      <c r="N17" s="8"/>
    </row>
    <row r="18" spans="1:14" x14ac:dyDescent="0.25">
      <c r="F18" t="s">
        <v>52</v>
      </c>
      <c r="G18" s="8">
        <f>G16+G17</f>
        <v>698.9296713</v>
      </c>
      <c r="H18" t="s">
        <v>21</v>
      </c>
      <c r="L18" t="s">
        <v>35</v>
      </c>
      <c r="M18" s="5">
        <f>(IF(M16&gt;M15, M16, M15))-M17</f>
        <v>7.6630279368015114E-2</v>
      </c>
      <c r="N18" s="8"/>
    </row>
    <row r="19" spans="1:14" x14ac:dyDescent="0.25">
      <c r="A19" s="4" t="s">
        <v>23</v>
      </c>
      <c r="B19" s="2"/>
      <c r="L19" t="s">
        <v>53</v>
      </c>
      <c r="M19" s="5">
        <f>(0.11*12)/M18</f>
        <v>17.225566850157641</v>
      </c>
      <c r="N19" s="8">
        <f>ROUNDDOWN(M19,0)</f>
        <v>17</v>
      </c>
    </row>
    <row r="20" spans="1:14" x14ac:dyDescent="0.25">
      <c r="A20" t="s">
        <v>24</v>
      </c>
      <c r="B20">
        <f>SQRT((G5*12)/(0.9*701.232*12))</f>
        <v>1.9060788434990701</v>
      </c>
      <c r="C20" t="s">
        <v>26</v>
      </c>
      <c r="F20" s="3" t="s">
        <v>20</v>
      </c>
      <c r="M20" s="5"/>
      <c r="N20" s="8"/>
    </row>
    <row r="21" spans="1:14" x14ac:dyDescent="0.25">
      <c r="A21" t="s">
        <v>25</v>
      </c>
      <c r="B21">
        <f>C8-1</f>
        <v>4</v>
      </c>
      <c r="C21" t="s">
        <v>26</v>
      </c>
      <c r="L21" t="s">
        <v>32</v>
      </c>
      <c r="M21" s="5">
        <f>((0.9*60000*B23)-SQRT(((0.9*60000*B23)^2)-((4*60000*60000*0.9*G6*12))/(2*0.85*3000*12)))/((2*60000*60000*0.9)/(2*0.85*3000*12))</f>
        <v>6.9150568835784507E-2</v>
      </c>
      <c r="N21" s="8"/>
    </row>
    <row r="22" spans="1:14" x14ac:dyDescent="0.25">
      <c r="A22" t="s">
        <v>28</v>
      </c>
      <c r="B22">
        <v>4</v>
      </c>
      <c r="F22" t="s">
        <v>41</v>
      </c>
      <c r="G22">
        <f>G15/3</f>
        <v>474.15293750000001</v>
      </c>
      <c r="H22" t="s">
        <v>21</v>
      </c>
      <c r="L22" t="s">
        <v>33</v>
      </c>
      <c r="M22" s="5">
        <f>M6</f>
        <v>0.10800000000000001</v>
      </c>
      <c r="N22" s="8"/>
    </row>
    <row r="23" spans="1:14" x14ac:dyDescent="0.25">
      <c r="A23" t="s">
        <v>29</v>
      </c>
      <c r="B23">
        <v>3.625</v>
      </c>
      <c r="F23" t="s">
        <v>42</v>
      </c>
      <c r="G23">
        <f>G18/3</f>
        <v>232.97655710000001</v>
      </c>
      <c r="H23" t="s">
        <v>21</v>
      </c>
      <c r="L23" t="s">
        <v>34</v>
      </c>
      <c r="M23" s="5">
        <f>(0.11*12)/(2*N7)</f>
        <v>5.5E-2</v>
      </c>
      <c r="N23" s="8"/>
    </row>
    <row r="24" spans="1:14" x14ac:dyDescent="0.25">
      <c r="L24" t="s">
        <v>35</v>
      </c>
      <c r="M24" s="5">
        <f>(IF(M22&gt;M21, M22, M21))-M23</f>
        <v>5.3000000000000012E-2</v>
      </c>
      <c r="N24" s="8"/>
    </row>
    <row r="25" spans="1:14" x14ac:dyDescent="0.25">
      <c r="L25" t="s">
        <v>53</v>
      </c>
      <c r="M25" s="5">
        <f>(0.11*12)/M24</f>
        <v>24.905660377358487</v>
      </c>
      <c r="N25" s="8">
        <f>ROUNDDOWN(M25,0)</f>
        <v>24</v>
      </c>
    </row>
    <row r="26" spans="1:14" x14ac:dyDescent="0.25">
      <c r="M26" s="5"/>
      <c r="N26" s="8"/>
    </row>
    <row r="27" spans="1:14" x14ac:dyDescent="0.25">
      <c r="M27" s="5"/>
      <c r="N27" s="8"/>
    </row>
    <row r="28" spans="1:14" x14ac:dyDescent="0.25">
      <c r="G28" t="s">
        <v>56</v>
      </c>
      <c r="L28" s="3" t="s">
        <v>37</v>
      </c>
      <c r="M28" s="5"/>
      <c r="N28" s="8"/>
    </row>
    <row r="29" spans="1:14" x14ac:dyDescent="0.25">
      <c r="L29" t="s">
        <v>31</v>
      </c>
      <c r="M29" s="5">
        <f>((0.9*60000*B22)-SQRT(((0.9*60000*B22)^2)-((4*60000*60000*0.9*G22*12))/(2*0.85*3000*12)))/((2*60000*60000*0.9)/(2*0.85*3000*12))</f>
        <v>2.6514133606429596E-2</v>
      </c>
      <c r="N29" s="8"/>
    </row>
    <row r="30" spans="1:14" x14ac:dyDescent="0.25">
      <c r="L30" t="s">
        <v>33</v>
      </c>
      <c r="M30" s="5">
        <f>M6</f>
        <v>0.10800000000000001</v>
      </c>
      <c r="N30" s="8"/>
    </row>
    <row r="31" spans="1:14" x14ac:dyDescent="0.25">
      <c r="L31" t="s">
        <v>34</v>
      </c>
      <c r="M31" s="5">
        <f>(0.11*12)/(2*N7)</f>
        <v>5.5E-2</v>
      </c>
      <c r="N31" s="8"/>
    </row>
    <row r="32" spans="1:14" x14ac:dyDescent="0.25">
      <c r="L32" t="s">
        <v>35</v>
      </c>
      <c r="M32" s="5">
        <f>(IF(M30&gt;M29, M30, M29))-M31</f>
        <v>5.3000000000000012E-2</v>
      </c>
      <c r="N32" s="8"/>
    </row>
    <row r="33" spans="12:14" x14ac:dyDescent="0.25">
      <c r="L33" t="s">
        <v>53</v>
      </c>
      <c r="M33" s="5">
        <f>(0.11*12)/M32</f>
        <v>24.905660377358487</v>
      </c>
      <c r="N33" s="8">
        <v>24</v>
      </c>
    </row>
    <row r="34" spans="12:14" x14ac:dyDescent="0.25">
      <c r="M34" s="5"/>
      <c r="N34" s="8"/>
    </row>
    <row r="35" spans="12:14" x14ac:dyDescent="0.25">
      <c r="L35" t="s">
        <v>32</v>
      </c>
      <c r="M35" s="5">
        <f>((0.9*60000*B23)-SQRT(((0.9*60000*B23)^2)-((4*60000*60000*0.9*G23*12))/(2*0.85*3000*12)))/((2*60000*60000*0.9)/(2*0.85*3000*12))</f>
        <v>1.4337684600142238E-2</v>
      </c>
      <c r="N35" s="8"/>
    </row>
    <row r="36" spans="12:14" x14ac:dyDescent="0.25">
      <c r="L36" t="s">
        <v>33</v>
      </c>
      <c r="M36" s="5">
        <f>M6</f>
        <v>0.10800000000000001</v>
      </c>
      <c r="N36" s="8"/>
    </row>
    <row r="37" spans="12:14" x14ac:dyDescent="0.25">
      <c r="L37" t="s">
        <v>34</v>
      </c>
      <c r="M37" s="5">
        <f>(0.11*12)/(2*N7)</f>
        <v>5.5E-2</v>
      </c>
      <c r="N37" s="8"/>
    </row>
    <row r="38" spans="12:14" x14ac:dyDescent="0.25">
      <c r="L38" t="s">
        <v>35</v>
      </c>
      <c r="M38" s="5">
        <f>(IF(M36&gt;M35, M36, M35))-M37</f>
        <v>5.3000000000000012E-2</v>
      </c>
      <c r="N38" s="8"/>
    </row>
    <row r="39" spans="12:14" x14ac:dyDescent="0.25">
      <c r="L39" t="s">
        <v>53</v>
      </c>
      <c r="M39" s="5">
        <f>(0.11*12)/M38</f>
        <v>24.905660377358487</v>
      </c>
      <c r="N39" s="8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5D637-7C20-4B3D-9335-AD504C5F63D1}">
  <sheetPr>
    <tabColor rgb="FF00B050"/>
  </sheetPr>
  <dimension ref="A1:S39"/>
  <sheetViews>
    <sheetView workbookViewId="0">
      <selection activeCell="G13" sqref="G13"/>
    </sheetView>
  </sheetViews>
  <sheetFormatPr defaultRowHeight="15" x14ac:dyDescent="0.25"/>
  <sheetData>
    <row r="1" spans="1:19" x14ac:dyDescent="0.25">
      <c r="A1" s="1" t="s">
        <v>0</v>
      </c>
      <c r="B1" s="2"/>
      <c r="F1" s="1" t="s">
        <v>15</v>
      </c>
      <c r="G1" s="2"/>
      <c r="L1" s="1" t="s">
        <v>22</v>
      </c>
      <c r="M1" s="6"/>
      <c r="N1" s="7"/>
    </row>
    <row r="2" spans="1:19" x14ac:dyDescent="0.25">
      <c r="A2" t="s">
        <v>1</v>
      </c>
      <c r="C2">
        <v>9.5399999999999991</v>
      </c>
      <c r="D2" t="s">
        <v>17</v>
      </c>
      <c r="F2" s="3" t="s">
        <v>16</v>
      </c>
      <c r="M2" s="5"/>
      <c r="N2" s="8"/>
    </row>
    <row r="3" spans="1:19" x14ac:dyDescent="0.25">
      <c r="A3" t="s">
        <v>2</v>
      </c>
      <c r="C3">
        <v>10.75</v>
      </c>
      <c r="D3" t="s">
        <v>17</v>
      </c>
      <c r="F3" t="s">
        <v>39</v>
      </c>
      <c r="G3">
        <v>6.1499999999999999E-2</v>
      </c>
      <c r="H3" t="s">
        <v>18</v>
      </c>
      <c r="L3" s="2" t="s">
        <v>27</v>
      </c>
      <c r="M3" s="6"/>
      <c r="N3" s="9"/>
    </row>
    <row r="4" spans="1:19" x14ac:dyDescent="0.25">
      <c r="A4" t="s">
        <v>3</v>
      </c>
      <c r="C4">
        <f>C2/C3</f>
        <v>0.88744186046511619</v>
      </c>
      <c r="D4" t="s">
        <v>59</v>
      </c>
      <c r="F4" t="s">
        <v>40</v>
      </c>
      <c r="G4">
        <v>3.85E-2</v>
      </c>
      <c r="H4" t="s">
        <v>18</v>
      </c>
      <c r="L4" s="3" t="s">
        <v>30</v>
      </c>
      <c r="M4" s="5"/>
      <c r="N4" s="8"/>
    </row>
    <row r="5" spans="1:19" x14ac:dyDescent="0.25">
      <c r="F5" t="s">
        <v>41</v>
      </c>
      <c r="G5">
        <f>G3*C16*C2*C2</f>
        <v>1364.3207662499999</v>
      </c>
      <c r="H5" t="s">
        <v>21</v>
      </c>
      <c r="L5" t="s">
        <v>31</v>
      </c>
      <c r="M5" s="5">
        <f>((0.9*60000*B22)-SQRT(((0.9*60000*B22)^2)-((4*60000*60000*0.9*G15*12))/(2*0.85*3000*12)))/((2*60000*60000*0.9)/(2*0.85*3000*12))</f>
        <v>4.5132864183681877E-2</v>
      </c>
      <c r="N5" s="8"/>
    </row>
    <row r="6" spans="1:19" x14ac:dyDescent="0.25">
      <c r="A6" t="s">
        <v>4</v>
      </c>
      <c r="C6">
        <f>(2*12*(C2+C3))/180</f>
        <v>2.7053333333333334</v>
      </c>
      <c r="F6" t="s">
        <v>42</v>
      </c>
      <c r="G6">
        <f>G4*C16*C3*C3</f>
        <v>1084.4818359374999</v>
      </c>
      <c r="H6" t="s">
        <v>21</v>
      </c>
      <c r="L6" t="s">
        <v>33</v>
      </c>
      <c r="M6" s="5">
        <f>0.0018*12*C8</f>
        <v>0.10800000000000001</v>
      </c>
      <c r="N6" s="8"/>
    </row>
    <row r="7" spans="1:19" x14ac:dyDescent="0.25">
      <c r="A7" t="s">
        <v>5</v>
      </c>
      <c r="C7">
        <v>3.5</v>
      </c>
      <c r="D7" t="s">
        <v>14</v>
      </c>
      <c r="L7" t="s">
        <v>53</v>
      </c>
      <c r="M7" s="5">
        <f>(0.11*12)/(IF(M6&gt;M5, M6, M5))</f>
        <v>12.222222222222221</v>
      </c>
      <c r="N7" s="8">
        <f>ROUNDDOWN(M7,0)</f>
        <v>12</v>
      </c>
    </row>
    <row r="8" spans="1:19" x14ac:dyDescent="0.25">
      <c r="A8" t="s">
        <v>6</v>
      </c>
      <c r="C8">
        <v>5</v>
      </c>
      <c r="D8" t="s">
        <v>14</v>
      </c>
      <c r="F8" s="3" t="s">
        <v>19</v>
      </c>
      <c r="M8" s="5"/>
      <c r="N8" s="8"/>
    </row>
    <row r="9" spans="1:19" x14ac:dyDescent="0.25">
      <c r="F9" t="s">
        <v>43</v>
      </c>
      <c r="G9">
        <v>3.4000000000000002E-2</v>
      </c>
      <c r="L9" t="s">
        <v>32</v>
      </c>
      <c r="M9" s="5">
        <f>((0.9*60000*B23)-SQRT(((0.9*60000*B23)^2)-((4*60000*60000*0.9*G18*12))/(2*0.85*3000*12)))/((2*60000*60000*0.9)/(2*0.85*3000*12))</f>
        <v>3.9647305637405206E-2</v>
      </c>
      <c r="N9" s="8"/>
    </row>
    <row r="10" spans="1:19" x14ac:dyDescent="0.25">
      <c r="A10" s="1" t="s">
        <v>7</v>
      </c>
      <c r="B10" s="2"/>
      <c r="F10" t="s">
        <v>44</v>
      </c>
      <c r="G10">
        <v>0.04</v>
      </c>
      <c r="L10" t="s">
        <v>33</v>
      </c>
      <c r="M10" s="5">
        <f>M6</f>
        <v>0.10800000000000001</v>
      </c>
      <c r="N10" s="8"/>
    </row>
    <row r="11" spans="1:19" x14ac:dyDescent="0.25">
      <c r="A11" t="s">
        <v>8</v>
      </c>
      <c r="C11">
        <f>(C8*150)/12</f>
        <v>62.5</v>
      </c>
      <c r="F11" t="s">
        <v>45</v>
      </c>
      <c r="G11">
        <v>2.12E-2</v>
      </c>
      <c r="L11" t="s">
        <v>53</v>
      </c>
      <c r="M11" s="5">
        <f>(0.11*12)/(IF(M10&gt;M9, M10, M9))</f>
        <v>12.222222222222221</v>
      </c>
      <c r="N11" s="8">
        <f>ROUNDDOWN(M11,0)</f>
        <v>12</v>
      </c>
      <c r="R11" s="2" t="s">
        <v>38</v>
      </c>
      <c r="S11" s="2"/>
    </row>
    <row r="12" spans="1:19" x14ac:dyDescent="0.25">
      <c r="A12" t="s">
        <v>9</v>
      </c>
      <c r="C12">
        <v>40</v>
      </c>
      <c r="F12" t="s">
        <v>46</v>
      </c>
      <c r="G12">
        <v>2.53E-2</v>
      </c>
      <c r="M12" s="5"/>
      <c r="N12" s="8"/>
    </row>
    <row r="13" spans="1:19" x14ac:dyDescent="0.25">
      <c r="A13" t="s">
        <v>10</v>
      </c>
      <c r="C13">
        <v>50</v>
      </c>
      <c r="F13" t="s">
        <v>47</v>
      </c>
      <c r="G13">
        <f>G9*C14*C2*C2</f>
        <v>475.76313899999991</v>
      </c>
      <c r="M13" s="5"/>
      <c r="N13" s="8"/>
    </row>
    <row r="14" spans="1:19" x14ac:dyDescent="0.25">
      <c r="A14" t="s">
        <v>11</v>
      </c>
      <c r="C14">
        <f>1.5*(C11+C12)</f>
        <v>153.75</v>
      </c>
      <c r="F14" t="s">
        <v>48</v>
      </c>
      <c r="G14">
        <f>G10*C15*C2*C2</f>
        <v>327.64175999999998</v>
      </c>
      <c r="L14" s="3" t="s">
        <v>36</v>
      </c>
      <c r="M14" s="5"/>
      <c r="N14" s="8"/>
    </row>
    <row r="15" spans="1:19" x14ac:dyDescent="0.25">
      <c r="A15" t="s">
        <v>12</v>
      </c>
      <c r="C15">
        <f>1.8*C13</f>
        <v>90</v>
      </c>
      <c r="F15" t="s">
        <v>49</v>
      </c>
      <c r="G15">
        <f>SUM(G13:G14)</f>
        <v>803.40489899999989</v>
      </c>
      <c r="H15" t="s">
        <v>21</v>
      </c>
      <c r="L15" t="s">
        <v>31</v>
      </c>
      <c r="M15" s="5">
        <f>((0.9*60000*B22)-SQRT(((0.9*60000*B22)^2)-((4*60000*60000*0.9*G5*12))/(2*0.85*3000*12)))/((2*60000*60000*0.9)/(2*0.85*3000*12))</f>
        <v>7.7258560163871101E-2</v>
      </c>
      <c r="N15" s="8"/>
    </row>
    <row r="16" spans="1:19" x14ac:dyDescent="0.25">
      <c r="A16" t="s">
        <v>13</v>
      </c>
      <c r="C16">
        <f>C14+C15</f>
        <v>243.75</v>
      </c>
      <c r="F16" t="s">
        <v>50</v>
      </c>
      <c r="G16">
        <f>G11*C3*C3*C14</f>
        <v>376.67596874999998</v>
      </c>
      <c r="L16" t="s">
        <v>33</v>
      </c>
      <c r="M16" s="5">
        <f>M6</f>
        <v>0.10800000000000001</v>
      </c>
      <c r="N16" s="8"/>
    </row>
    <row r="17" spans="1:14" x14ac:dyDescent="0.25">
      <c r="F17" t="s">
        <v>51</v>
      </c>
      <c r="G17">
        <f>G12*C3*C3*C15</f>
        <v>263.13581250000004</v>
      </c>
      <c r="L17" t="s">
        <v>34</v>
      </c>
      <c r="M17" s="5">
        <f>(0.11*12)/(2*N7)</f>
        <v>5.5E-2</v>
      </c>
      <c r="N17" s="8"/>
    </row>
    <row r="18" spans="1:14" x14ac:dyDescent="0.25">
      <c r="F18" t="s">
        <v>52</v>
      </c>
      <c r="G18">
        <f>G16+G17</f>
        <v>639.81178124999997</v>
      </c>
      <c r="H18" t="s">
        <v>21</v>
      </c>
      <c r="L18" t="s">
        <v>35</v>
      </c>
      <c r="M18" s="5">
        <f>(IF(M16&gt;M15, M16, M15))-M17</f>
        <v>5.3000000000000012E-2</v>
      </c>
      <c r="N18" s="8"/>
    </row>
    <row r="19" spans="1:14" x14ac:dyDescent="0.25">
      <c r="A19" s="4" t="s">
        <v>23</v>
      </c>
      <c r="B19" s="2"/>
      <c r="L19" t="s">
        <v>53</v>
      </c>
      <c r="M19" s="5">
        <f>(0.11*12)/M18</f>
        <v>24.905660377358487</v>
      </c>
      <c r="N19" s="8">
        <f>ROUNDDOWN(M19,0)</f>
        <v>24</v>
      </c>
    </row>
    <row r="20" spans="1:14" x14ac:dyDescent="0.25">
      <c r="A20" t="s">
        <v>24</v>
      </c>
      <c r="B20">
        <f>SQRT((G5*12)/(0.9*701.232*12))</f>
        <v>1.470300574170855</v>
      </c>
      <c r="C20" t="s">
        <v>26</v>
      </c>
      <c r="F20" s="3" t="s">
        <v>20</v>
      </c>
      <c r="M20" s="5"/>
      <c r="N20" s="8"/>
    </row>
    <row r="21" spans="1:14" x14ac:dyDescent="0.25">
      <c r="A21" t="s">
        <v>25</v>
      </c>
      <c r="B21">
        <f>C8-1</f>
        <v>4</v>
      </c>
      <c r="C21" t="s">
        <v>26</v>
      </c>
      <c r="L21" t="s">
        <v>32</v>
      </c>
      <c r="M21" s="5">
        <f>((0.9*60000*B23)-SQRT(((0.9*60000*B23)^2)-((4*60000*60000*0.9*G6*12))/(2*0.85*3000*12)))/((2*60000*60000*0.9)/(2*0.85*3000*12))</f>
        <v>6.7722016029085411E-2</v>
      </c>
      <c r="N21" s="8"/>
    </row>
    <row r="22" spans="1:14" x14ac:dyDescent="0.25">
      <c r="A22" t="s">
        <v>28</v>
      </c>
      <c r="B22">
        <v>4</v>
      </c>
      <c r="F22" t="s">
        <v>41</v>
      </c>
      <c r="G22">
        <f>G15/3</f>
        <v>267.80163299999998</v>
      </c>
      <c r="H22" t="s">
        <v>21</v>
      </c>
      <c r="L22" t="s">
        <v>33</v>
      </c>
      <c r="M22" s="5">
        <f>M6</f>
        <v>0.10800000000000001</v>
      </c>
      <c r="N22" s="8"/>
    </row>
    <row r="23" spans="1:14" x14ac:dyDescent="0.25">
      <c r="A23" t="s">
        <v>29</v>
      </c>
      <c r="B23">
        <v>3.625</v>
      </c>
      <c r="F23" t="s">
        <v>42</v>
      </c>
      <c r="G23">
        <f>G18/3</f>
        <v>213.27059374999999</v>
      </c>
      <c r="H23" t="s">
        <v>21</v>
      </c>
      <c r="L23" t="s">
        <v>34</v>
      </c>
      <c r="M23" s="5">
        <f>(0.11*12)/(2*N7)</f>
        <v>5.5E-2</v>
      </c>
      <c r="N23" s="8"/>
    </row>
    <row r="24" spans="1:14" x14ac:dyDescent="0.25">
      <c r="L24" t="s">
        <v>35</v>
      </c>
      <c r="M24" s="5">
        <f>(IF(M22&gt;M21, M22, M21))-M23</f>
        <v>5.3000000000000012E-2</v>
      </c>
      <c r="N24" s="8"/>
    </row>
    <row r="25" spans="1:14" x14ac:dyDescent="0.25">
      <c r="L25" t="s">
        <v>53</v>
      </c>
      <c r="M25" s="5">
        <f>(0.11*12)/M24</f>
        <v>24.905660377358487</v>
      </c>
      <c r="N25" s="8">
        <f>ROUNDDOWN(M25,0)</f>
        <v>24</v>
      </c>
    </row>
    <row r="26" spans="1:14" x14ac:dyDescent="0.25">
      <c r="M26" s="5"/>
      <c r="N26" s="8"/>
    </row>
    <row r="27" spans="1:14" x14ac:dyDescent="0.25">
      <c r="M27" s="5"/>
      <c r="N27" s="8"/>
    </row>
    <row r="28" spans="1:14" x14ac:dyDescent="0.25">
      <c r="L28" s="3" t="s">
        <v>37</v>
      </c>
      <c r="M28" s="5"/>
      <c r="N28" s="8"/>
    </row>
    <row r="29" spans="1:14" x14ac:dyDescent="0.25">
      <c r="G29" t="s">
        <v>56</v>
      </c>
      <c r="L29" t="s">
        <v>31</v>
      </c>
      <c r="M29" s="5">
        <f>((0.9*60000*B22)-SQRT(((0.9*60000*B22)^2)-((4*60000*60000*0.9*G22*12))/(2*0.85*3000*12)))/((2*60000*60000*0.9)/(2*0.85*3000*12))</f>
        <v>1.4932520502094346E-2</v>
      </c>
      <c r="N29" s="8"/>
    </row>
    <row r="30" spans="1:14" x14ac:dyDescent="0.25">
      <c r="L30" t="s">
        <v>33</v>
      </c>
      <c r="M30" s="5">
        <f>M6</f>
        <v>0.10800000000000001</v>
      </c>
      <c r="N30" s="8"/>
    </row>
    <row r="31" spans="1:14" x14ac:dyDescent="0.25">
      <c r="L31" t="s">
        <v>34</v>
      </c>
      <c r="M31" s="5">
        <f>(0.11*12)/(2*N7)</f>
        <v>5.5E-2</v>
      </c>
      <c r="N31" s="8"/>
    </row>
    <row r="32" spans="1:14" x14ac:dyDescent="0.25">
      <c r="L32" t="s">
        <v>35</v>
      </c>
      <c r="M32" s="5">
        <f>(IF(M30&gt;M29, M30, M29))-M31</f>
        <v>5.3000000000000012E-2</v>
      </c>
      <c r="N32" s="8"/>
    </row>
    <row r="33" spans="12:14" x14ac:dyDescent="0.25">
      <c r="L33" t="s">
        <v>53</v>
      </c>
      <c r="M33" s="5">
        <f>(0.11*12)/M32</f>
        <v>24.905660377358487</v>
      </c>
      <c r="N33" s="8">
        <v>24</v>
      </c>
    </row>
    <row r="34" spans="12:14" x14ac:dyDescent="0.25">
      <c r="M34" s="5"/>
      <c r="N34" s="8"/>
    </row>
    <row r="35" spans="12:14" x14ac:dyDescent="0.25">
      <c r="L35" t="s">
        <v>32</v>
      </c>
      <c r="M35" s="5">
        <f>((0.9*60000*B23)-SQRT(((0.9*60000*B23)^2)-((4*60000*60000*0.9*G23*12))/(2*0.85*3000*12)))/((2*60000*60000*0.9)/(2*0.85*3000*12))</f>
        <v>1.312061803950553E-2</v>
      </c>
      <c r="N35" s="8"/>
    </row>
    <row r="36" spans="12:14" x14ac:dyDescent="0.25">
      <c r="L36" t="s">
        <v>33</v>
      </c>
      <c r="M36" s="5">
        <f>M6</f>
        <v>0.10800000000000001</v>
      </c>
      <c r="N36" s="8"/>
    </row>
    <row r="37" spans="12:14" x14ac:dyDescent="0.25">
      <c r="L37" t="s">
        <v>34</v>
      </c>
      <c r="M37" s="5">
        <f>(0.11*12)/(2*N7)</f>
        <v>5.5E-2</v>
      </c>
      <c r="N37" s="8"/>
    </row>
    <row r="38" spans="12:14" x14ac:dyDescent="0.25">
      <c r="L38" t="s">
        <v>35</v>
      </c>
      <c r="M38" s="5">
        <f>(IF(M36&gt;M35, M36, M35))-M37</f>
        <v>5.3000000000000012E-2</v>
      </c>
      <c r="N38" s="8"/>
    </row>
    <row r="39" spans="12:14" x14ac:dyDescent="0.25">
      <c r="L39" t="s">
        <v>53</v>
      </c>
      <c r="M39" s="5">
        <f>(0.11*12)/M38</f>
        <v>24.905660377358487</v>
      </c>
      <c r="N39" s="8">
        <v>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E2F6D-AF64-4456-888F-6F8501EC49DC}">
  <sheetPr>
    <tabColor rgb="FF00B0F0"/>
  </sheetPr>
  <dimension ref="A1:S39"/>
  <sheetViews>
    <sheetView workbookViewId="0">
      <selection activeCell="G12" sqref="G12"/>
    </sheetView>
  </sheetViews>
  <sheetFormatPr defaultRowHeight="15" x14ac:dyDescent="0.25"/>
  <sheetData>
    <row r="1" spans="1:19" x14ac:dyDescent="0.25">
      <c r="A1" s="1" t="s">
        <v>0</v>
      </c>
      <c r="B1" s="2"/>
      <c r="F1" s="1" t="s">
        <v>15</v>
      </c>
      <c r="G1" s="2"/>
      <c r="L1" s="1" t="s">
        <v>22</v>
      </c>
      <c r="M1" s="6"/>
      <c r="N1" s="7"/>
    </row>
    <row r="2" spans="1:19" x14ac:dyDescent="0.25">
      <c r="A2" t="s">
        <v>1</v>
      </c>
      <c r="C2">
        <v>9.5399999999999991</v>
      </c>
      <c r="D2" t="s">
        <v>17</v>
      </c>
      <c r="F2" s="3" t="s">
        <v>16</v>
      </c>
      <c r="M2" s="5"/>
      <c r="N2" s="8"/>
    </row>
    <row r="3" spans="1:19" x14ac:dyDescent="0.25">
      <c r="A3" t="s">
        <v>2</v>
      </c>
      <c r="C3">
        <v>9.66</v>
      </c>
      <c r="D3" t="s">
        <v>17</v>
      </c>
      <c r="F3" t="s">
        <v>39</v>
      </c>
      <c r="G3">
        <v>3.4200000000000001E-2</v>
      </c>
      <c r="H3" t="s">
        <v>18</v>
      </c>
      <c r="L3" s="2" t="s">
        <v>27</v>
      </c>
      <c r="M3" s="6"/>
      <c r="N3" s="9"/>
    </row>
    <row r="4" spans="1:19" x14ac:dyDescent="0.25">
      <c r="A4" t="s">
        <v>3</v>
      </c>
      <c r="C4">
        <f>C2/C3</f>
        <v>0.98757763975155266</v>
      </c>
      <c r="D4" t="s">
        <v>55</v>
      </c>
      <c r="F4" t="s">
        <v>40</v>
      </c>
      <c r="G4">
        <v>0.06</v>
      </c>
      <c r="H4" t="s">
        <v>18</v>
      </c>
      <c r="L4" s="3" t="s">
        <v>30</v>
      </c>
      <c r="M4" s="5"/>
      <c r="N4" s="8"/>
    </row>
    <row r="5" spans="1:19" x14ac:dyDescent="0.25">
      <c r="F5" t="s">
        <v>41</v>
      </c>
      <c r="G5">
        <f>G3*C16*C2*C2</f>
        <v>758.69545049999988</v>
      </c>
      <c r="H5" t="s">
        <v>21</v>
      </c>
      <c r="L5" t="s">
        <v>31</v>
      </c>
      <c r="M5" s="5">
        <f>((0.9*60000*B22)-SQRT(((0.9*60000*B22)^2)-((4*60000*60000*0.9*G15*12))/(2*0.85*3000*12)))/((2*60000*60000*0.9)/(2*0.85*3000*12))</f>
        <v>2.9344242514398017E-2</v>
      </c>
      <c r="N5" s="8"/>
    </row>
    <row r="6" spans="1:19" x14ac:dyDescent="0.25">
      <c r="A6" t="s">
        <v>4</v>
      </c>
      <c r="C6">
        <f>(2*12*(C2+C3))/180</f>
        <v>2.5599999999999996</v>
      </c>
      <c r="F6" t="s">
        <v>42</v>
      </c>
      <c r="G6">
        <f>G4*C16*C3*C3</f>
        <v>1364.74065</v>
      </c>
      <c r="H6" t="s">
        <v>21</v>
      </c>
      <c r="L6" t="s">
        <v>33</v>
      </c>
      <c r="M6" s="5">
        <f>0.0018*12*C8</f>
        <v>0.10800000000000001</v>
      </c>
      <c r="N6" s="8"/>
    </row>
    <row r="7" spans="1:19" x14ac:dyDescent="0.25">
      <c r="A7" t="s">
        <v>5</v>
      </c>
      <c r="C7">
        <v>3.5</v>
      </c>
      <c r="D7" t="s">
        <v>14</v>
      </c>
      <c r="L7" t="s">
        <v>53</v>
      </c>
      <c r="M7" s="5">
        <f>(0.11*12)/(IF(M6&gt;M5, M6, M5))</f>
        <v>12.222222222222221</v>
      </c>
      <c r="N7" s="8">
        <f>ROUNDDOWN(M7,0)</f>
        <v>12</v>
      </c>
    </row>
    <row r="8" spans="1:19" x14ac:dyDescent="0.25">
      <c r="A8" t="s">
        <v>6</v>
      </c>
      <c r="C8">
        <v>5</v>
      </c>
      <c r="D8" t="s">
        <v>14</v>
      </c>
      <c r="F8" s="3" t="s">
        <v>19</v>
      </c>
      <c r="M8" s="5"/>
      <c r="N8" s="8"/>
    </row>
    <row r="9" spans="1:19" x14ac:dyDescent="0.25">
      <c r="F9" t="s">
        <v>43</v>
      </c>
      <c r="G9">
        <v>2.0500000000000001E-2</v>
      </c>
      <c r="L9" t="s">
        <v>32</v>
      </c>
      <c r="M9" s="5">
        <f>((0.9*60000*B23)-SQRT(((0.9*60000*B23)^2)-((4*60000*60000*0.9*G18*12))/(2*0.85*3000*12)))/((2*60000*60000*0.9)/(2*0.85*3000*12))</f>
        <v>3.5209576624220869E-2</v>
      </c>
      <c r="N9" s="8"/>
    </row>
    <row r="10" spans="1:19" x14ac:dyDescent="0.25">
      <c r="A10" s="1" t="s">
        <v>7</v>
      </c>
      <c r="B10" s="2"/>
      <c r="F10" t="s">
        <v>44</v>
      </c>
      <c r="G10">
        <v>2.9000000000000001E-2</v>
      </c>
      <c r="L10" t="s">
        <v>33</v>
      </c>
      <c r="M10" s="5">
        <f>M6</f>
        <v>0.10800000000000001</v>
      </c>
      <c r="N10" s="8"/>
    </row>
    <row r="11" spans="1:19" x14ac:dyDescent="0.25">
      <c r="A11" t="s">
        <v>8</v>
      </c>
      <c r="C11">
        <f>(C8*150)/12</f>
        <v>62.5</v>
      </c>
      <c r="F11" t="s">
        <v>45</v>
      </c>
      <c r="G11">
        <v>2.2499999999999999E-2</v>
      </c>
      <c r="L11" t="s">
        <v>53</v>
      </c>
      <c r="M11" s="5">
        <f>(0.11*12)/(IF(M10&gt;M9, M10, M9))</f>
        <v>12.222222222222221</v>
      </c>
      <c r="N11" s="8">
        <f>ROUNDDOWN(M11,0)</f>
        <v>12</v>
      </c>
      <c r="R11" s="2" t="s">
        <v>38</v>
      </c>
      <c r="S11" s="2"/>
    </row>
    <row r="12" spans="1:19" x14ac:dyDescent="0.25">
      <c r="A12" t="s">
        <v>9</v>
      </c>
      <c r="C12">
        <v>40</v>
      </c>
      <c r="F12" t="s">
        <v>46</v>
      </c>
      <c r="G12">
        <v>2.93E-2</v>
      </c>
      <c r="M12" s="5"/>
      <c r="N12" s="8"/>
    </row>
    <row r="13" spans="1:19" x14ac:dyDescent="0.25">
      <c r="A13" t="s">
        <v>10</v>
      </c>
      <c r="C13">
        <v>50</v>
      </c>
      <c r="F13" t="s">
        <v>47</v>
      </c>
      <c r="G13">
        <f>G9*C14*C2*C2</f>
        <v>286.85718674999998</v>
      </c>
      <c r="M13" s="5"/>
      <c r="N13" s="8"/>
    </row>
    <row r="14" spans="1:19" x14ac:dyDescent="0.25">
      <c r="A14" t="s">
        <v>11</v>
      </c>
      <c r="C14">
        <f>1.5*(C11+C12)</f>
        <v>153.75</v>
      </c>
      <c r="F14" t="s">
        <v>48</v>
      </c>
      <c r="G14">
        <f>G10*C15*C2*C2</f>
        <v>237.54027599999998</v>
      </c>
      <c r="L14" s="3" t="s">
        <v>36</v>
      </c>
      <c r="M14" s="5"/>
      <c r="N14" s="8"/>
    </row>
    <row r="15" spans="1:19" x14ac:dyDescent="0.25">
      <c r="A15" t="s">
        <v>12</v>
      </c>
      <c r="C15">
        <f>1.8*C13</f>
        <v>90</v>
      </c>
      <c r="F15" t="s">
        <v>49</v>
      </c>
      <c r="G15">
        <f>SUM(G13:G14)</f>
        <v>524.39746274999993</v>
      </c>
      <c r="H15" t="s">
        <v>21</v>
      </c>
      <c r="L15" t="s">
        <v>31</v>
      </c>
      <c r="M15" s="5">
        <f>((0.9*60000*B22)-SQRT(((0.9*60000*B22)^2)-((4*60000*60000*0.9*G5*12))/(2*0.85*3000*12)))/((2*60000*60000*0.9)/(2*0.85*3000*12))</f>
        <v>4.2594424955211888E-2</v>
      </c>
      <c r="N15" s="8"/>
    </row>
    <row r="16" spans="1:19" x14ac:dyDescent="0.25">
      <c r="A16" t="s">
        <v>13</v>
      </c>
      <c r="C16">
        <f>C14+C15</f>
        <v>243.75</v>
      </c>
      <c r="F16" t="s">
        <v>50</v>
      </c>
      <c r="G16">
        <f>G11*C3*C3*C14</f>
        <v>322.81365374999996</v>
      </c>
      <c r="L16" t="s">
        <v>33</v>
      </c>
      <c r="M16" s="5">
        <f>M6</f>
        <v>0.10800000000000001</v>
      </c>
      <c r="N16" s="8"/>
    </row>
    <row r="17" spans="1:14" x14ac:dyDescent="0.25">
      <c r="F17" t="s">
        <v>51</v>
      </c>
      <c r="G17">
        <f>G12*C3*C3*C15</f>
        <v>246.07323719999999</v>
      </c>
      <c r="L17" t="s">
        <v>34</v>
      </c>
      <c r="M17" s="5">
        <f>(0.11*12)/(2*N7)</f>
        <v>5.5E-2</v>
      </c>
      <c r="N17" s="8"/>
    </row>
    <row r="18" spans="1:14" x14ac:dyDescent="0.25">
      <c r="F18" t="s">
        <v>52</v>
      </c>
      <c r="G18">
        <f>G16+G17</f>
        <v>568.88689094999995</v>
      </c>
      <c r="H18" t="s">
        <v>21</v>
      </c>
      <c r="L18" t="s">
        <v>35</v>
      </c>
      <c r="M18" s="5">
        <f>(IF(M16&gt;M15, M16, M15))-M17</f>
        <v>5.3000000000000012E-2</v>
      </c>
      <c r="N18" s="8"/>
    </row>
    <row r="19" spans="1:14" x14ac:dyDescent="0.25">
      <c r="A19" s="4" t="s">
        <v>23</v>
      </c>
      <c r="B19" s="2"/>
      <c r="L19" t="s">
        <v>53</v>
      </c>
      <c r="M19" s="5">
        <f>(0.11*12)/M18</f>
        <v>24.905660377358487</v>
      </c>
      <c r="N19" s="8">
        <f>ROUNDDOWN(M19,0)</f>
        <v>24</v>
      </c>
    </row>
    <row r="20" spans="1:14" x14ac:dyDescent="0.25">
      <c r="A20" t="s">
        <v>24</v>
      </c>
      <c r="B20">
        <f>SQRT((G5*12)/(0.9*701.232*12))</f>
        <v>1.0964317974816546</v>
      </c>
      <c r="C20" t="s">
        <v>26</v>
      </c>
      <c r="F20" s="3" t="s">
        <v>20</v>
      </c>
      <c r="M20" s="5"/>
      <c r="N20" s="8"/>
    </row>
    <row r="21" spans="1:14" x14ac:dyDescent="0.25">
      <c r="A21" t="s">
        <v>25</v>
      </c>
      <c r="B21">
        <f>C8-1</f>
        <v>4</v>
      </c>
      <c r="C21" t="s">
        <v>26</v>
      </c>
      <c r="L21" t="s">
        <v>32</v>
      </c>
      <c r="M21" s="5">
        <f>((0.9*60000*B23)-SQRT(((0.9*60000*B23)^2)-((4*60000*60000*0.9*G6*12))/(2*0.85*3000*12)))/((2*60000*60000*0.9)/(2*0.85*3000*12))</f>
        <v>8.5646103883835062E-2</v>
      </c>
      <c r="N21" s="8"/>
    </row>
    <row r="22" spans="1:14" x14ac:dyDescent="0.25">
      <c r="A22" t="s">
        <v>28</v>
      </c>
      <c r="B22">
        <v>4</v>
      </c>
      <c r="F22" t="s">
        <v>41</v>
      </c>
      <c r="G22">
        <f>G15/3</f>
        <v>174.79915424999999</v>
      </c>
      <c r="H22" t="s">
        <v>21</v>
      </c>
      <c r="L22" t="s">
        <v>33</v>
      </c>
      <c r="M22" s="5">
        <f>M6</f>
        <v>0.10800000000000001</v>
      </c>
      <c r="N22" s="8"/>
    </row>
    <row r="23" spans="1:14" x14ac:dyDescent="0.25">
      <c r="A23" t="s">
        <v>29</v>
      </c>
      <c r="B23">
        <v>3.625</v>
      </c>
      <c r="F23" t="s">
        <v>42</v>
      </c>
      <c r="G23">
        <f>G18/3</f>
        <v>189.62896364999997</v>
      </c>
      <c r="H23" t="s">
        <v>21</v>
      </c>
      <c r="L23" t="s">
        <v>34</v>
      </c>
      <c r="M23" s="5">
        <f>(0.11*12)/(2*N7)</f>
        <v>5.5E-2</v>
      </c>
      <c r="N23" s="8"/>
    </row>
    <row r="24" spans="1:14" x14ac:dyDescent="0.25">
      <c r="L24" t="s">
        <v>35</v>
      </c>
      <c r="M24" s="5">
        <f>(IF(M22&gt;M21, M22, M21))-M23</f>
        <v>5.3000000000000012E-2</v>
      </c>
      <c r="N24" s="8"/>
    </row>
    <row r="25" spans="1:14" x14ac:dyDescent="0.25">
      <c r="L25" t="s">
        <v>53</v>
      </c>
      <c r="M25" s="5">
        <f>(0.11*12)/M24</f>
        <v>24.905660377358487</v>
      </c>
      <c r="N25" s="8">
        <f>ROUNDDOWN(M25,0)</f>
        <v>24</v>
      </c>
    </row>
    <row r="26" spans="1:14" x14ac:dyDescent="0.25">
      <c r="M26" s="5"/>
      <c r="N26" s="8"/>
    </row>
    <row r="27" spans="1:14" x14ac:dyDescent="0.25">
      <c r="M27" s="5"/>
      <c r="N27" s="8"/>
    </row>
    <row r="28" spans="1:14" x14ac:dyDescent="0.25">
      <c r="L28" s="3" t="s">
        <v>37</v>
      </c>
      <c r="M28" s="5"/>
      <c r="N28" s="8"/>
    </row>
    <row r="29" spans="1:14" x14ac:dyDescent="0.25">
      <c r="L29" t="s">
        <v>31</v>
      </c>
      <c r="M29" s="5">
        <f>((0.9*60000*B22)-SQRT(((0.9*60000*B22)^2)-((4*60000*60000*0.9*G22*12))/(2*0.85*3000*12)))/((2*60000*60000*0.9)/(2*0.85*3000*12))</f>
        <v>9.7342887272119857E-3</v>
      </c>
      <c r="N29" s="8"/>
    </row>
    <row r="30" spans="1:14" x14ac:dyDescent="0.25">
      <c r="G30" t="s">
        <v>56</v>
      </c>
      <c r="L30" t="s">
        <v>33</v>
      </c>
      <c r="M30" s="5">
        <f>M6</f>
        <v>0.10800000000000001</v>
      </c>
      <c r="N30" s="8"/>
    </row>
    <row r="31" spans="1:14" x14ac:dyDescent="0.25">
      <c r="L31" t="s">
        <v>34</v>
      </c>
      <c r="M31" s="5">
        <f>(0.11*12)/(2*N7)</f>
        <v>5.5E-2</v>
      </c>
      <c r="N31" s="8"/>
    </row>
    <row r="32" spans="1:14" x14ac:dyDescent="0.25">
      <c r="L32" t="s">
        <v>35</v>
      </c>
      <c r="M32" s="5">
        <f>(IF(M30&gt;M29, M30, M29))-M31</f>
        <v>5.3000000000000012E-2</v>
      </c>
      <c r="N32" s="8"/>
    </row>
    <row r="33" spans="12:14" x14ac:dyDescent="0.25">
      <c r="L33" t="s">
        <v>53</v>
      </c>
      <c r="M33" s="5">
        <f>(0.11*12)/M32</f>
        <v>24.905660377358487</v>
      </c>
      <c r="N33" s="8">
        <v>24</v>
      </c>
    </row>
    <row r="34" spans="12:14" x14ac:dyDescent="0.25">
      <c r="M34" s="5"/>
      <c r="N34" s="8"/>
    </row>
    <row r="35" spans="12:14" x14ac:dyDescent="0.25">
      <c r="L35" t="s">
        <v>32</v>
      </c>
      <c r="M35" s="5">
        <f>((0.9*60000*B23)-SQRT(((0.9*60000*B23)^2)-((4*60000*60000*0.9*G23*12))/(2*0.85*3000*12)))/((2*60000*60000*0.9)/(2*0.85*3000*12))</f>
        <v>1.1661543391010231E-2</v>
      </c>
      <c r="N35" s="8"/>
    </row>
    <row r="36" spans="12:14" x14ac:dyDescent="0.25">
      <c r="L36" t="s">
        <v>33</v>
      </c>
      <c r="M36" s="5">
        <f>M6</f>
        <v>0.10800000000000001</v>
      </c>
      <c r="N36" s="8"/>
    </row>
    <row r="37" spans="12:14" x14ac:dyDescent="0.25">
      <c r="L37" t="s">
        <v>34</v>
      </c>
      <c r="M37" s="5">
        <f>(0.11*12)/(2*N7)</f>
        <v>5.5E-2</v>
      </c>
      <c r="N37" s="8"/>
    </row>
    <row r="38" spans="12:14" x14ac:dyDescent="0.25">
      <c r="L38" t="s">
        <v>35</v>
      </c>
      <c r="M38" s="5">
        <f>(IF(M36&gt;M35, M36, M35))-M37</f>
        <v>5.3000000000000012E-2</v>
      </c>
      <c r="N38" s="8"/>
    </row>
    <row r="39" spans="12:14" x14ac:dyDescent="0.25">
      <c r="L39" t="s">
        <v>53</v>
      </c>
      <c r="M39" s="5">
        <f>(0.11*12)/M38</f>
        <v>24.905660377358487</v>
      </c>
      <c r="N39" s="8">
        <v>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270C1-A917-48BD-81C0-BDADD4679859}">
  <sheetPr>
    <tabColor rgb="FF00B0F0"/>
  </sheetPr>
  <dimension ref="A1:S39"/>
  <sheetViews>
    <sheetView workbookViewId="0">
      <selection activeCell="G3" sqref="G3"/>
    </sheetView>
  </sheetViews>
  <sheetFormatPr defaultRowHeight="15" x14ac:dyDescent="0.25"/>
  <sheetData>
    <row r="1" spans="1:19" x14ac:dyDescent="0.25">
      <c r="A1" s="1" t="s">
        <v>0</v>
      </c>
      <c r="B1" s="2"/>
      <c r="F1" s="1" t="s">
        <v>15</v>
      </c>
      <c r="G1" s="2"/>
      <c r="L1" s="1" t="s">
        <v>22</v>
      </c>
      <c r="M1" s="6"/>
      <c r="N1" s="7"/>
    </row>
    <row r="2" spans="1:19" x14ac:dyDescent="0.25">
      <c r="A2" t="s">
        <v>1</v>
      </c>
      <c r="C2">
        <v>9.5399999999999991</v>
      </c>
      <c r="D2" t="s">
        <v>17</v>
      </c>
      <c r="F2" s="3" t="s">
        <v>16</v>
      </c>
      <c r="M2" s="5"/>
      <c r="N2" s="8"/>
    </row>
    <row r="3" spans="1:19" x14ac:dyDescent="0.25">
      <c r="A3" t="s">
        <v>2</v>
      </c>
      <c r="C3">
        <v>11</v>
      </c>
      <c r="D3" t="s">
        <v>17</v>
      </c>
      <c r="F3" t="s">
        <v>39</v>
      </c>
      <c r="G3">
        <v>4.7E-2</v>
      </c>
      <c r="H3" t="s">
        <v>18</v>
      </c>
      <c r="L3" s="2" t="s">
        <v>27</v>
      </c>
      <c r="M3" s="6"/>
      <c r="N3" s="9"/>
    </row>
    <row r="4" spans="1:19" x14ac:dyDescent="0.25">
      <c r="A4" t="s">
        <v>3</v>
      </c>
      <c r="C4">
        <f>C2/C3</f>
        <v>0.8672727272727272</v>
      </c>
      <c r="D4" t="s">
        <v>55</v>
      </c>
      <c r="F4" t="s">
        <v>40</v>
      </c>
      <c r="G4">
        <v>4.8099999999999997E-2</v>
      </c>
      <c r="H4" t="s">
        <v>18</v>
      </c>
      <c r="L4" s="3" t="s">
        <v>30</v>
      </c>
      <c r="M4" s="5"/>
      <c r="N4" s="8"/>
    </row>
    <row r="5" spans="1:19" x14ac:dyDescent="0.25">
      <c r="F5" t="s">
        <v>41</v>
      </c>
      <c r="G5">
        <f>G3*C16*C2*C2</f>
        <v>1042.6516425</v>
      </c>
      <c r="H5" t="s">
        <v>21</v>
      </c>
      <c r="L5" t="s">
        <v>31</v>
      </c>
      <c r="M5" s="5">
        <f>((0.9*60000*B22)-SQRT(((0.9*60000*B22)^2)-((4*60000*60000*0.9*G15*12))/(2*0.85*3000*12)))/((2*60000*60000*0.9)/(2*0.85*3000*12))</f>
        <v>3.9579619827872441E-2</v>
      </c>
      <c r="N5" s="8"/>
    </row>
    <row r="6" spans="1:19" x14ac:dyDescent="0.25">
      <c r="A6" t="s">
        <v>4</v>
      </c>
      <c r="C6">
        <f>(2*12*(C2+C3))/180</f>
        <v>2.7386666666666666</v>
      </c>
      <c r="F6" t="s">
        <v>42</v>
      </c>
      <c r="G6">
        <f>G4*C16*C3*C3</f>
        <v>1418.649375</v>
      </c>
      <c r="H6" t="s">
        <v>21</v>
      </c>
      <c r="L6" t="s">
        <v>33</v>
      </c>
      <c r="M6" s="5">
        <f>0.0018*12*C8</f>
        <v>0.10800000000000001</v>
      </c>
      <c r="N6" s="8"/>
    </row>
    <row r="7" spans="1:19" x14ac:dyDescent="0.25">
      <c r="A7" t="s">
        <v>5</v>
      </c>
      <c r="C7">
        <v>3.5</v>
      </c>
      <c r="D7" t="s">
        <v>14</v>
      </c>
      <c r="L7" t="s">
        <v>53</v>
      </c>
      <c r="M7" s="5">
        <f>(0.11*12)/(IF(M6&gt;M5, M6, M5))</f>
        <v>12.222222222222221</v>
      </c>
      <c r="N7" s="8">
        <f>ROUNDDOWN(M7,0)</f>
        <v>12</v>
      </c>
    </row>
    <row r="8" spans="1:19" x14ac:dyDescent="0.25">
      <c r="A8" t="s">
        <v>6</v>
      </c>
      <c r="C8">
        <v>5</v>
      </c>
      <c r="D8" t="s">
        <v>14</v>
      </c>
      <c r="F8" s="3" t="s">
        <v>19</v>
      </c>
      <c r="M8" s="5"/>
      <c r="N8" s="8"/>
    </row>
    <row r="9" spans="1:19" x14ac:dyDescent="0.25">
      <c r="F9" t="s">
        <v>43</v>
      </c>
      <c r="G9">
        <v>2.8000000000000001E-2</v>
      </c>
      <c r="L9" t="s">
        <v>32</v>
      </c>
      <c r="M9" s="5">
        <f>((0.9*60000*B23)-SQRT(((0.9*60000*B23)^2)-((4*60000*60000*0.9*G18*12))/(2*0.85*3000*12)))/((2*60000*60000*0.9)/(2*0.85*3000*12))</f>
        <v>3.5684739867315365E-2</v>
      </c>
      <c r="N9" s="8"/>
    </row>
    <row r="10" spans="1:19" x14ac:dyDescent="0.25">
      <c r="A10" s="1" t="s">
        <v>7</v>
      </c>
      <c r="B10" s="2"/>
      <c r="F10" t="s">
        <v>44</v>
      </c>
      <c r="G10">
        <v>3.8300000000000001E-2</v>
      </c>
      <c r="L10" t="s">
        <v>33</v>
      </c>
      <c r="M10" s="5">
        <f>M6</f>
        <v>0.10800000000000001</v>
      </c>
      <c r="N10" s="8"/>
    </row>
    <row r="11" spans="1:19" x14ac:dyDescent="0.25">
      <c r="A11" t="s">
        <v>8</v>
      </c>
      <c r="C11">
        <f>(C8*150)/12</f>
        <v>62.5</v>
      </c>
      <c r="F11" t="s">
        <v>45</v>
      </c>
      <c r="G11">
        <v>1.77E-2</v>
      </c>
      <c r="L11" t="s">
        <v>53</v>
      </c>
      <c r="M11" s="5">
        <f>(0.11*12)/(IF(M10&gt;M9, M10, M9))</f>
        <v>12.222222222222221</v>
      </c>
      <c r="N11" s="8">
        <f>ROUNDDOWN(M11,0)</f>
        <v>12</v>
      </c>
      <c r="R11" s="2" t="s">
        <v>38</v>
      </c>
      <c r="S11" s="2"/>
    </row>
    <row r="12" spans="1:19" x14ac:dyDescent="0.25">
      <c r="A12" t="s">
        <v>9</v>
      </c>
      <c r="C12">
        <v>40</v>
      </c>
      <c r="F12" t="s">
        <v>46</v>
      </c>
      <c r="G12">
        <v>2.2700000000000001E-2</v>
      </c>
      <c r="M12" s="5"/>
      <c r="N12" s="8"/>
    </row>
    <row r="13" spans="1:19" x14ac:dyDescent="0.25">
      <c r="A13" t="s">
        <v>10</v>
      </c>
      <c r="C13">
        <v>50</v>
      </c>
      <c r="F13" t="s">
        <v>47</v>
      </c>
      <c r="G13">
        <f>G9*C14*C2*C2</f>
        <v>391.80493799999988</v>
      </c>
      <c r="M13" s="5"/>
      <c r="N13" s="8"/>
    </row>
    <row r="14" spans="1:19" x14ac:dyDescent="0.25">
      <c r="A14" t="s">
        <v>11</v>
      </c>
      <c r="C14">
        <f>1.5*(C11+C12)</f>
        <v>153.75</v>
      </c>
      <c r="F14" t="s">
        <v>48</v>
      </c>
      <c r="G14">
        <f>G10*C15*C2*C2</f>
        <v>313.71698519999995</v>
      </c>
      <c r="L14" s="3" t="s">
        <v>36</v>
      </c>
      <c r="M14" s="5"/>
      <c r="N14" s="8"/>
    </row>
    <row r="15" spans="1:19" x14ac:dyDescent="0.25">
      <c r="A15" t="s">
        <v>12</v>
      </c>
      <c r="C15">
        <f>1.8*C13</f>
        <v>90</v>
      </c>
      <c r="F15" t="s">
        <v>49</v>
      </c>
      <c r="G15">
        <f>SUM(G13:G14)</f>
        <v>705.52192319999983</v>
      </c>
      <c r="H15" t="s">
        <v>21</v>
      </c>
      <c r="L15" t="s">
        <v>31</v>
      </c>
      <c r="M15" s="5">
        <f>((0.9*60000*B22)-SQRT(((0.9*60000*B22)^2)-((4*60000*60000*0.9*G5*12))/(2*0.85*3000*12)))/((2*60000*60000*0.9)/(2*0.85*3000*12))</f>
        <v>5.8771687134468745E-2</v>
      </c>
      <c r="N15" s="8"/>
    </row>
    <row r="16" spans="1:19" x14ac:dyDescent="0.25">
      <c r="A16" t="s">
        <v>13</v>
      </c>
      <c r="C16">
        <f>C14+C15</f>
        <v>243.75</v>
      </c>
      <c r="F16" t="s">
        <v>50</v>
      </c>
      <c r="G16">
        <f>G11*C3*C3*C14</f>
        <v>329.28637500000002</v>
      </c>
      <c r="L16" t="s">
        <v>33</v>
      </c>
      <c r="M16" s="5">
        <f>M6</f>
        <v>0.10800000000000001</v>
      </c>
      <c r="N16" s="8"/>
    </row>
    <row r="17" spans="1:14" x14ac:dyDescent="0.25">
      <c r="F17" t="s">
        <v>51</v>
      </c>
      <c r="G17">
        <f>G12*C3*C3*C15</f>
        <v>247.203</v>
      </c>
      <c r="L17" t="s">
        <v>34</v>
      </c>
      <c r="M17" s="5">
        <f>(0.11*12)/(2*N7)</f>
        <v>5.5E-2</v>
      </c>
      <c r="N17" s="8"/>
    </row>
    <row r="18" spans="1:14" x14ac:dyDescent="0.25">
      <c r="F18" t="s">
        <v>52</v>
      </c>
      <c r="G18">
        <f>G16+G17</f>
        <v>576.489375</v>
      </c>
      <c r="H18" t="s">
        <v>21</v>
      </c>
      <c r="L18" t="s">
        <v>35</v>
      </c>
      <c r="M18" s="5">
        <f>(IF(M16&gt;M15, M16, M15))-M17</f>
        <v>5.3000000000000012E-2</v>
      </c>
      <c r="N18" s="8"/>
    </row>
    <row r="19" spans="1:14" x14ac:dyDescent="0.25">
      <c r="A19" s="4" t="s">
        <v>23</v>
      </c>
      <c r="B19" s="2"/>
      <c r="L19" t="s">
        <v>53</v>
      </c>
      <c r="M19" s="5">
        <f>(0.11*12)/M18</f>
        <v>24.905660377358487</v>
      </c>
      <c r="N19" s="8">
        <f>ROUNDDOWN(M19,0)</f>
        <v>24</v>
      </c>
    </row>
    <row r="20" spans="1:14" x14ac:dyDescent="0.25">
      <c r="A20" t="s">
        <v>24</v>
      </c>
      <c r="B20">
        <f>SQRT((G5*12)/(0.9*701.232*12))</f>
        <v>1.2853384457346284</v>
      </c>
      <c r="C20" t="s">
        <v>26</v>
      </c>
      <c r="F20" s="3" t="s">
        <v>20</v>
      </c>
      <c r="M20" s="5"/>
      <c r="N20" s="8"/>
    </row>
    <row r="21" spans="1:14" x14ac:dyDescent="0.25">
      <c r="A21" t="s">
        <v>25</v>
      </c>
      <c r="B21">
        <f>C8-1</f>
        <v>4</v>
      </c>
      <c r="C21" t="s">
        <v>26</v>
      </c>
      <c r="L21" t="s">
        <v>32</v>
      </c>
      <c r="M21" s="5">
        <f>((0.9*60000*B23)-SQRT(((0.9*60000*B23)^2)-((4*60000*60000*0.9*G6*12))/(2*0.85*3000*12)))/((2*60000*60000*0.9)/(2*0.85*3000*12))</f>
        <v>8.9114799880384302E-2</v>
      </c>
      <c r="N21" s="8"/>
    </row>
    <row r="22" spans="1:14" x14ac:dyDescent="0.25">
      <c r="A22" t="s">
        <v>28</v>
      </c>
      <c r="B22">
        <v>4</v>
      </c>
      <c r="F22" t="s">
        <v>41</v>
      </c>
      <c r="G22">
        <f>G15/3</f>
        <v>235.17397439999993</v>
      </c>
      <c r="H22" t="s">
        <v>21</v>
      </c>
      <c r="L22" t="s">
        <v>33</v>
      </c>
      <c r="M22" s="5">
        <f>M6</f>
        <v>0.10800000000000001</v>
      </c>
      <c r="N22" s="8"/>
    </row>
    <row r="23" spans="1:14" x14ac:dyDescent="0.25">
      <c r="A23" t="s">
        <v>29</v>
      </c>
      <c r="B23">
        <v>3.625</v>
      </c>
      <c r="F23" t="s">
        <v>42</v>
      </c>
      <c r="G23">
        <f>G18/3</f>
        <v>192.16312500000001</v>
      </c>
      <c r="H23" t="s">
        <v>21</v>
      </c>
      <c r="L23" t="s">
        <v>34</v>
      </c>
      <c r="M23" s="5">
        <f>(0.11*12)/(2*N7)</f>
        <v>5.5E-2</v>
      </c>
      <c r="N23" s="8"/>
    </row>
    <row r="24" spans="1:14" x14ac:dyDescent="0.25">
      <c r="L24" t="s">
        <v>35</v>
      </c>
      <c r="M24" s="5">
        <f>(IF(M22&gt;M21, M22, M21))-M23</f>
        <v>5.3000000000000012E-2</v>
      </c>
      <c r="N24" s="8"/>
    </row>
    <row r="25" spans="1:14" x14ac:dyDescent="0.25">
      <c r="L25" t="s">
        <v>53</v>
      </c>
      <c r="M25" s="5">
        <f>(0.11*12)/M24</f>
        <v>24.905660377358487</v>
      </c>
      <c r="N25" s="8">
        <f>ROUNDDOWN(M25,0)</f>
        <v>24</v>
      </c>
    </row>
    <row r="26" spans="1:14" x14ac:dyDescent="0.25">
      <c r="M26" s="5"/>
      <c r="N26" s="8"/>
    </row>
    <row r="27" spans="1:14" x14ac:dyDescent="0.25">
      <c r="M27" s="5"/>
      <c r="N27" s="8"/>
    </row>
    <row r="28" spans="1:14" x14ac:dyDescent="0.25">
      <c r="G28" t="s">
        <v>56</v>
      </c>
      <c r="L28" s="3" t="s">
        <v>37</v>
      </c>
      <c r="M28" s="5"/>
      <c r="N28" s="8"/>
    </row>
    <row r="29" spans="1:14" x14ac:dyDescent="0.25">
      <c r="L29" t="s">
        <v>31</v>
      </c>
      <c r="M29" s="5">
        <f>((0.9*60000*B22)-SQRT(((0.9*60000*B22)^2)-((4*60000*60000*0.9*G22*12))/(2*0.85*3000*12)))/((2*60000*60000*0.9)/(2*0.85*3000*12))</f>
        <v>1.3107329152330137E-2</v>
      </c>
      <c r="N29" s="8"/>
    </row>
    <row r="30" spans="1:14" x14ac:dyDescent="0.25">
      <c r="L30" t="s">
        <v>33</v>
      </c>
      <c r="M30" s="5">
        <f>M6</f>
        <v>0.10800000000000001</v>
      </c>
      <c r="N30" s="8"/>
    </row>
    <row r="31" spans="1:14" x14ac:dyDescent="0.25">
      <c r="L31" t="s">
        <v>34</v>
      </c>
      <c r="M31" s="5">
        <f>(0.11*12)/(2*N7)</f>
        <v>5.5E-2</v>
      </c>
      <c r="N31" s="8"/>
    </row>
    <row r="32" spans="1:14" x14ac:dyDescent="0.25">
      <c r="L32" t="s">
        <v>35</v>
      </c>
      <c r="M32" s="5">
        <f>(IF(M30&gt;M29, M30, M29))-M31</f>
        <v>5.3000000000000012E-2</v>
      </c>
      <c r="N32" s="8"/>
    </row>
    <row r="33" spans="12:14" x14ac:dyDescent="0.25">
      <c r="L33" t="s">
        <v>53</v>
      </c>
      <c r="M33" s="5">
        <f>(0.11*12)/M32</f>
        <v>24.905660377358487</v>
      </c>
      <c r="N33" s="8">
        <v>24</v>
      </c>
    </row>
    <row r="34" spans="12:14" x14ac:dyDescent="0.25">
      <c r="M34" s="5"/>
      <c r="N34" s="8"/>
    </row>
    <row r="35" spans="12:14" x14ac:dyDescent="0.25">
      <c r="L35" t="s">
        <v>32</v>
      </c>
      <c r="M35" s="5">
        <f>((0.9*60000*B23)-SQRT(((0.9*60000*B23)^2)-((4*60000*60000*0.9*G23*12))/(2*0.85*3000*12)))/((2*60000*60000*0.9)/(2*0.85*3000*12))</f>
        <v>1.1817887073667564E-2</v>
      </c>
      <c r="N35" s="8"/>
    </row>
    <row r="36" spans="12:14" x14ac:dyDescent="0.25">
      <c r="L36" t="s">
        <v>33</v>
      </c>
      <c r="M36" s="5">
        <f>M6</f>
        <v>0.10800000000000001</v>
      </c>
      <c r="N36" s="8"/>
    </row>
    <row r="37" spans="12:14" x14ac:dyDescent="0.25">
      <c r="L37" t="s">
        <v>34</v>
      </c>
      <c r="M37" s="5">
        <f>(0.11*12)/(2*N7)</f>
        <v>5.5E-2</v>
      </c>
      <c r="N37" s="8"/>
    </row>
    <row r="38" spans="12:14" x14ac:dyDescent="0.25">
      <c r="L38" t="s">
        <v>35</v>
      </c>
      <c r="M38" s="5">
        <f>(IF(M36&gt;M35, M36, M35))-M37</f>
        <v>5.3000000000000012E-2</v>
      </c>
      <c r="N38" s="8"/>
    </row>
    <row r="39" spans="12:14" x14ac:dyDescent="0.25">
      <c r="L39" t="s">
        <v>53</v>
      </c>
      <c r="M39" s="5">
        <f>(0.11*12)/M38</f>
        <v>24.905660377358487</v>
      </c>
      <c r="N39" s="8">
        <v>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23E81-EECC-4284-92B3-51CA939CF2C6}">
  <sheetPr>
    <tabColor rgb="FFFFFF00"/>
  </sheetPr>
  <dimension ref="A1:S39"/>
  <sheetViews>
    <sheetView workbookViewId="0">
      <selection activeCell="G4" sqref="G4"/>
    </sheetView>
  </sheetViews>
  <sheetFormatPr defaultRowHeight="15" x14ac:dyDescent="0.25"/>
  <sheetData>
    <row r="1" spans="1:19" x14ac:dyDescent="0.25">
      <c r="A1" s="1" t="s">
        <v>0</v>
      </c>
      <c r="B1" s="2"/>
      <c r="F1" s="1" t="s">
        <v>15</v>
      </c>
      <c r="G1" s="2"/>
      <c r="L1" s="1" t="s">
        <v>22</v>
      </c>
      <c r="M1" s="6"/>
      <c r="N1" s="7"/>
    </row>
    <row r="2" spans="1:19" x14ac:dyDescent="0.25">
      <c r="A2" t="s">
        <v>1</v>
      </c>
      <c r="C2">
        <v>8.33</v>
      </c>
      <c r="D2" t="s">
        <v>17</v>
      </c>
      <c r="F2" s="3" t="s">
        <v>16</v>
      </c>
      <c r="M2" s="5"/>
      <c r="N2" s="8"/>
    </row>
    <row r="3" spans="1:19" x14ac:dyDescent="0.25">
      <c r="A3" t="s">
        <v>2</v>
      </c>
      <c r="C3">
        <v>9.5399999999999991</v>
      </c>
      <c r="D3" t="s">
        <v>17</v>
      </c>
      <c r="F3" t="s">
        <v>39</v>
      </c>
      <c r="G3">
        <v>8.1140000000000004E-2</v>
      </c>
      <c r="H3" t="s">
        <v>18</v>
      </c>
      <c r="L3" s="2" t="s">
        <v>27</v>
      </c>
      <c r="M3" s="6"/>
      <c r="N3" s="9"/>
    </row>
    <row r="4" spans="1:19" x14ac:dyDescent="0.25">
      <c r="A4" t="s">
        <v>3</v>
      </c>
      <c r="C4">
        <f>C2/C3</f>
        <v>0.87316561844863738</v>
      </c>
      <c r="D4" t="s">
        <v>57</v>
      </c>
      <c r="F4" t="s">
        <v>40</v>
      </c>
      <c r="G4">
        <v>0</v>
      </c>
      <c r="H4" t="s">
        <v>18</v>
      </c>
      <c r="L4" s="3" t="s">
        <v>30</v>
      </c>
      <c r="M4" s="5"/>
      <c r="N4" s="8"/>
    </row>
    <row r="5" spans="1:19" x14ac:dyDescent="0.25">
      <c r="F5" t="s">
        <v>41</v>
      </c>
      <c r="G5">
        <f>G3*C16*C2*C2</f>
        <v>1372.3649905875002</v>
      </c>
      <c r="H5" t="s">
        <v>21</v>
      </c>
      <c r="L5" t="s">
        <v>31</v>
      </c>
      <c r="M5" s="5">
        <f>((0.9*60000*B22)-SQRT(((0.9*60000*B22)^2)-((4*60000*60000*0.9*G15*12))/(2*0.85*3000*12)))/((2*60000*60000*0.9)/(2*0.85*3000*12))</f>
        <v>3.9786419366921663E-2</v>
      </c>
      <c r="N5" s="8"/>
    </row>
    <row r="6" spans="1:19" x14ac:dyDescent="0.25">
      <c r="A6" t="s">
        <v>4</v>
      </c>
      <c r="C6">
        <f>(2*12*(C2+C3))/180</f>
        <v>2.3826666666666663</v>
      </c>
      <c r="F6" t="s">
        <v>42</v>
      </c>
      <c r="G6">
        <f>G4*C16*C3*C3</f>
        <v>0</v>
      </c>
      <c r="H6" t="s">
        <v>21</v>
      </c>
      <c r="L6" t="s">
        <v>33</v>
      </c>
      <c r="M6" s="5">
        <f>0.0018*12*C8</f>
        <v>0.10800000000000001</v>
      </c>
      <c r="N6" s="8"/>
    </row>
    <row r="7" spans="1:19" x14ac:dyDescent="0.25">
      <c r="A7" t="s">
        <v>5</v>
      </c>
      <c r="C7">
        <v>3.5</v>
      </c>
      <c r="D7" t="s">
        <v>14</v>
      </c>
      <c r="L7" t="s">
        <v>53</v>
      </c>
      <c r="M7" s="5">
        <f>(0.11*12)/(IF(M6&gt;M5, M6, M5))</f>
        <v>12.222222222222221</v>
      </c>
      <c r="N7" s="8">
        <f>ROUNDDOWN(M7,0)</f>
        <v>12</v>
      </c>
    </row>
    <row r="8" spans="1:19" x14ac:dyDescent="0.25">
      <c r="A8" t="s">
        <v>6</v>
      </c>
      <c r="C8">
        <v>5</v>
      </c>
      <c r="D8" t="s">
        <v>14</v>
      </c>
      <c r="F8" s="3" t="s">
        <v>19</v>
      </c>
      <c r="M8" s="5"/>
      <c r="N8" s="8"/>
    </row>
    <row r="9" spans="1:19" x14ac:dyDescent="0.25">
      <c r="F9" t="s">
        <v>43</v>
      </c>
      <c r="G9">
        <v>4.0599999999999997E-2</v>
      </c>
      <c r="L9" t="s">
        <v>32</v>
      </c>
      <c r="M9" s="5">
        <f>((0.9*60000*B23)-SQRT(((0.9*60000*B23)^2)-((4*60000*60000*0.9*G18*12))/(2*0.85*3000*12)))/((2*60000*60000*0.9)/(2*0.85*3000*12))</f>
        <v>2.8264368586227953E-2</v>
      </c>
      <c r="N9" s="8"/>
    </row>
    <row r="10" spans="1:19" x14ac:dyDescent="0.25">
      <c r="A10" s="1" t="s">
        <v>7</v>
      </c>
      <c r="B10" s="2"/>
      <c r="F10" t="s">
        <v>44</v>
      </c>
      <c r="G10">
        <v>4.4200000000000003E-2</v>
      </c>
      <c r="L10" t="s">
        <v>33</v>
      </c>
      <c r="M10" s="5">
        <f>M6</f>
        <v>0.10800000000000001</v>
      </c>
      <c r="N10" s="8"/>
    </row>
    <row r="11" spans="1:19" x14ac:dyDescent="0.25">
      <c r="A11" t="s">
        <v>8</v>
      </c>
      <c r="C11">
        <f>(C8*150)/12</f>
        <v>62.5</v>
      </c>
      <c r="F11" t="s">
        <v>45</v>
      </c>
      <c r="G11">
        <v>1.9E-2</v>
      </c>
      <c r="L11" t="s">
        <v>53</v>
      </c>
      <c r="M11" s="5">
        <f>(0.11*12)/(IF(M10&gt;M9, M10, M9))</f>
        <v>12.222222222222221</v>
      </c>
      <c r="N11" s="8">
        <f>ROUNDDOWN(M11,0)</f>
        <v>12</v>
      </c>
      <c r="R11" s="2" t="s">
        <v>38</v>
      </c>
      <c r="S11" s="2"/>
    </row>
    <row r="12" spans="1:19" x14ac:dyDescent="0.25">
      <c r="A12" t="s">
        <v>9</v>
      </c>
      <c r="C12">
        <v>40</v>
      </c>
      <c r="F12" t="s">
        <v>46</v>
      </c>
      <c r="G12">
        <v>2.3400000000000001E-2</v>
      </c>
      <c r="M12" s="5"/>
      <c r="N12" s="8"/>
    </row>
    <row r="13" spans="1:19" x14ac:dyDescent="0.25">
      <c r="A13" t="s">
        <v>10</v>
      </c>
      <c r="C13">
        <v>50</v>
      </c>
      <c r="F13" t="s">
        <v>47</v>
      </c>
      <c r="G13">
        <f>G9*C14*C2*C2</f>
        <v>433.14286102499995</v>
      </c>
      <c r="M13" s="5"/>
      <c r="N13" s="8"/>
    </row>
    <row r="14" spans="1:19" x14ac:dyDescent="0.25">
      <c r="A14" t="s">
        <v>11</v>
      </c>
      <c r="C14">
        <f>1.5*(C11+C12)</f>
        <v>153.75</v>
      </c>
      <c r="F14" t="s">
        <v>48</v>
      </c>
      <c r="G14">
        <f>G10*C15*C2*C2</f>
        <v>276.02904420000004</v>
      </c>
      <c r="L14" s="3" t="s">
        <v>36</v>
      </c>
      <c r="M14" s="5"/>
      <c r="N14" s="8"/>
    </row>
    <row r="15" spans="1:19" x14ac:dyDescent="0.25">
      <c r="A15" t="s">
        <v>12</v>
      </c>
      <c r="C15">
        <f>1.8*C13</f>
        <v>90</v>
      </c>
      <c r="F15" t="s">
        <v>49</v>
      </c>
      <c r="G15">
        <f>SUM(G13:G14)</f>
        <v>709.17190522500005</v>
      </c>
      <c r="H15" t="s">
        <v>21</v>
      </c>
      <c r="L15" t="s">
        <v>31</v>
      </c>
      <c r="M15" s="5">
        <f>((0.9*60000*B22)-SQRT(((0.9*60000*B22)^2)-((4*60000*60000*0.9*G5*12))/(2*0.85*3000*12)))/((2*60000*60000*0.9)/(2*0.85*3000*12))</f>
        <v>7.7723107679882025E-2</v>
      </c>
      <c r="N15" s="8"/>
    </row>
    <row r="16" spans="1:19" x14ac:dyDescent="0.25">
      <c r="A16" t="s">
        <v>13</v>
      </c>
      <c r="C16">
        <f>C14+C15</f>
        <v>243.75</v>
      </c>
      <c r="F16" t="s">
        <v>50</v>
      </c>
      <c r="G16">
        <f>G11*C3*C3*C14</f>
        <v>265.86763649999995</v>
      </c>
      <c r="L16" t="s">
        <v>33</v>
      </c>
      <c r="M16" s="5">
        <f>M6</f>
        <v>0.10800000000000001</v>
      </c>
      <c r="N16" s="8"/>
    </row>
    <row r="17" spans="1:14" x14ac:dyDescent="0.25">
      <c r="F17" t="s">
        <v>51</v>
      </c>
      <c r="G17">
        <f>G12*C3*C3*C15</f>
        <v>191.67042959999998</v>
      </c>
      <c r="L17" t="s">
        <v>34</v>
      </c>
      <c r="M17" s="5">
        <f>(0.11*12)/(2*N7)</f>
        <v>5.5E-2</v>
      </c>
      <c r="N17" s="8"/>
    </row>
    <row r="18" spans="1:14" x14ac:dyDescent="0.25">
      <c r="F18" t="s">
        <v>52</v>
      </c>
      <c r="G18">
        <f>G16+G17</f>
        <v>457.53806609999992</v>
      </c>
      <c r="H18" t="s">
        <v>21</v>
      </c>
      <c r="L18" t="s">
        <v>35</v>
      </c>
      <c r="M18" s="5">
        <f>(IF(M16&gt;M15, M16, M15))-M17</f>
        <v>5.3000000000000012E-2</v>
      </c>
      <c r="N18" s="8"/>
    </row>
    <row r="19" spans="1:14" x14ac:dyDescent="0.25">
      <c r="A19" s="4" t="s">
        <v>23</v>
      </c>
      <c r="B19" s="2"/>
      <c r="L19" t="s">
        <v>53</v>
      </c>
      <c r="M19" s="5">
        <f>(0.11*12)/M18</f>
        <v>24.905660377358487</v>
      </c>
      <c r="N19" s="8">
        <f>ROUNDDOWN(M19,0)</f>
        <v>24</v>
      </c>
    </row>
    <row r="20" spans="1:14" x14ac:dyDescent="0.25">
      <c r="A20" t="s">
        <v>24</v>
      </c>
      <c r="B20">
        <f>SQRT((G5*12)/(0.9*701.232*12))</f>
        <v>1.4746287516509105</v>
      </c>
      <c r="C20" t="s">
        <v>26</v>
      </c>
      <c r="F20" s="3" t="s">
        <v>20</v>
      </c>
      <c r="M20" s="5"/>
      <c r="N20" s="8"/>
    </row>
    <row r="21" spans="1:14" x14ac:dyDescent="0.25">
      <c r="A21" t="s">
        <v>25</v>
      </c>
      <c r="B21">
        <f>C8-1</f>
        <v>4</v>
      </c>
      <c r="C21" t="s">
        <v>26</v>
      </c>
      <c r="L21" t="s">
        <v>32</v>
      </c>
      <c r="M21" s="5">
        <f>((0.9*60000*B23)-SQRT(((0.9*60000*B23)^2)-((4*60000*60000*0.9*G6*12))/(2*0.85*3000*12)))/((2*60000*60000*0.9)/(2*0.85*3000*12))</f>
        <v>0</v>
      </c>
      <c r="N21" s="8"/>
    </row>
    <row r="22" spans="1:14" x14ac:dyDescent="0.25">
      <c r="A22" t="s">
        <v>28</v>
      </c>
      <c r="B22">
        <v>4</v>
      </c>
      <c r="F22" t="s">
        <v>41</v>
      </c>
      <c r="G22">
        <f>G15/3</f>
        <v>236.39063507500001</v>
      </c>
      <c r="H22" t="s">
        <v>21</v>
      </c>
      <c r="L22" t="s">
        <v>33</v>
      </c>
      <c r="M22" s="5">
        <f>M6</f>
        <v>0.10800000000000001</v>
      </c>
      <c r="N22" s="8"/>
    </row>
    <row r="23" spans="1:14" x14ac:dyDescent="0.25">
      <c r="A23" t="s">
        <v>29</v>
      </c>
      <c r="B23">
        <v>3.625</v>
      </c>
      <c r="F23" t="s">
        <v>42</v>
      </c>
      <c r="G23">
        <f>G18/3</f>
        <v>152.51268869999998</v>
      </c>
      <c r="H23" t="s">
        <v>21</v>
      </c>
      <c r="L23" t="s">
        <v>34</v>
      </c>
      <c r="M23" s="5">
        <f>(0.11*12)/(2*N7)</f>
        <v>5.5E-2</v>
      </c>
      <c r="N23" s="8"/>
    </row>
    <row r="24" spans="1:14" x14ac:dyDescent="0.25">
      <c r="L24" t="s">
        <v>35</v>
      </c>
      <c r="M24" s="5">
        <f>(IF(M22&gt;M21, M22, M21))-M23</f>
        <v>5.3000000000000012E-2</v>
      </c>
      <c r="N24" s="8"/>
    </row>
    <row r="25" spans="1:14" x14ac:dyDescent="0.25">
      <c r="L25" t="s">
        <v>53</v>
      </c>
      <c r="M25" s="5">
        <f>(0.11*12)/M24</f>
        <v>24.905660377358487</v>
      </c>
      <c r="N25" s="8">
        <f>ROUNDDOWN(M25,0)</f>
        <v>24</v>
      </c>
    </row>
    <row r="26" spans="1:14" x14ac:dyDescent="0.25">
      <c r="M26" s="5"/>
      <c r="N26" s="8"/>
    </row>
    <row r="27" spans="1:14" x14ac:dyDescent="0.25">
      <c r="G27" t="s">
        <v>56</v>
      </c>
      <c r="M27" s="5"/>
      <c r="N27" s="8"/>
    </row>
    <row r="28" spans="1:14" x14ac:dyDescent="0.25">
      <c r="L28" s="3" t="s">
        <v>37</v>
      </c>
      <c r="M28" s="5"/>
      <c r="N28" s="8"/>
    </row>
    <row r="29" spans="1:14" x14ac:dyDescent="0.25">
      <c r="L29" t="s">
        <v>31</v>
      </c>
      <c r="M29" s="5">
        <f>((0.9*60000*B22)-SQRT(((0.9*60000*B22)^2)-((4*60000*60000*0.9*G22*12))/(2*0.85*3000*12)))/((2*60000*60000*0.9)/(2*0.85*3000*12))</f>
        <v>1.3175359653348552E-2</v>
      </c>
      <c r="N29" s="8"/>
    </row>
    <row r="30" spans="1:14" x14ac:dyDescent="0.25">
      <c r="L30" t="s">
        <v>33</v>
      </c>
      <c r="M30" s="5">
        <f>M6</f>
        <v>0.10800000000000001</v>
      </c>
      <c r="N30" s="8"/>
    </row>
    <row r="31" spans="1:14" x14ac:dyDescent="0.25">
      <c r="L31" t="s">
        <v>34</v>
      </c>
      <c r="M31" s="5">
        <f>(0.11*12)/(2*N7)</f>
        <v>5.5E-2</v>
      </c>
      <c r="N31" s="8"/>
    </row>
    <row r="32" spans="1:14" x14ac:dyDescent="0.25">
      <c r="L32" t="s">
        <v>35</v>
      </c>
      <c r="M32" s="5">
        <f>(IF(M30&gt;M29, M30, M29))-M31</f>
        <v>5.3000000000000012E-2</v>
      </c>
      <c r="N32" s="8"/>
    </row>
    <row r="33" spans="12:14" x14ac:dyDescent="0.25">
      <c r="L33" t="s">
        <v>53</v>
      </c>
      <c r="M33" s="5">
        <f>(0.11*12)/M32</f>
        <v>24.905660377358487</v>
      </c>
      <c r="N33" s="8">
        <v>24</v>
      </c>
    </row>
    <row r="34" spans="12:14" x14ac:dyDescent="0.25">
      <c r="M34" s="5"/>
      <c r="N34" s="8"/>
    </row>
    <row r="35" spans="12:14" x14ac:dyDescent="0.25">
      <c r="L35" t="s">
        <v>32</v>
      </c>
      <c r="M35" s="5">
        <f>((0.9*60000*B23)-SQRT(((0.9*60000*B23)^2)-((4*60000*60000*0.9*G23*12))/(2*0.85*3000*12)))/((2*60000*60000*0.9)/(2*0.85*3000*12))</f>
        <v>9.3731980021058946E-3</v>
      </c>
      <c r="N35" s="8"/>
    </row>
    <row r="36" spans="12:14" x14ac:dyDescent="0.25">
      <c r="L36" t="s">
        <v>33</v>
      </c>
      <c r="M36" s="5">
        <f>M6</f>
        <v>0.10800000000000001</v>
      </c>
      <c r="N36" s="8"/>
    </row>
    <row r="37" spans="12:14" x14ac:dyDescent="0.25">
      <c r="L37" t="s">
        <v>34</v>
      </c>
      <c r="M37" s="5">
        <f>(0.11*12)/(2*N7)</f>
        <v>5.5E-2</v>
      </c>
      <c r="N37" s="8"/>
    </row>
    <row r="38" spans="12:14" x14ac:dyDescent="0.25">
      <c r="L38" t="s">
        <v>35</v>
      </c>
      <c r="M38" s="5">
        <f>(IF(M36&gt;M35, M36, M35))-M37</f>
        <v>5.3000000000000012E-2</v>
      </c>
      <c r="N38" s="8"/>
    </row>
    <row r="39" spans="12:14" x14ac:dyDescent="0.25">
      <c r="L39" t="s">
        <v>53</v>
      </c>
      <c r="M39" s="5">
        <f>(0.11*12)/M38</f>
        <v>24.905660377358487</v>
      </c>
      <c r="N39" s="8">
        <v>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37AAC-F339-4A69-BB99-37B25742D239}">
  <sheetPr>
    <tabColor theme="1"/>
  </sheetPr>
  <dimension ref="A1:S39"/>
  <sheetViews>
    <sheetView tabSelected="1" workbookViewId="0">
      <selection activeCell="G30" sqref="G30"/>
    </sheetView>
  </sheetViews>
  <sheetFormatPr defaultRowHeight="15" x14ac:dyDescent="0.25"/>
  <sheetData>
    <row r="1" spans="1:19" x14ac:dyDescent="0.25">
      <c r="A1" s="1" t="s">
        <v>0</v>
      </c>
      <c r="B1" s="2"/>
      <c r="F1" s="1" t="s">
        <v>15</v>
      </c>
      <c r="G1" s="2"/>
      <c r="L1" s="1" t="s">
        <v>22</v>
      </c>
      <c r="M1" s="6"/>
      <c r="N1" s="7"/>
    </row>
    <row r="2" spans="1:19" x14ac:dyDescent="0.25">
      <c r="A2" t="s">
        <v>1</v>
      </c>
      <c r="C2">
        <v>8.33</v>
      </c>
      <c r="D2" t="s">
        <v>17</v>
      </c>
      <c r="F2" s="3" t="s">
        <v>16</v>
      </c>
      <c r="M2" s="5"/>
      <c r="N2" s="8"/>
    </row>
    <row r="3" spans="1:19" x14ac:dyDescent="0.25">
      <c r="A3" t="s">
        <v>2</v>
      </c>
      <c r="C3">
        <v>15.46</v>
      </c>
      <c r="D3" t="s">
        <v>17</v>
      </c>
      <c r="F3" t="s">
        <v>39</v>
      </c>
      <c r="G3">
        <v>0</v>
      </c>
      <c r="H3" t="s">
        <v>18</v>
      </c>
      <c r="L3" s="2" t="s">
        <v>27</v>
      </c>
      <c r="M3" s="6"/>
      <c r="N3" s="9"/>
    </row>
    <row r="4" spans="1:19" x14ac:dyDescent="0.25">
      <c r="A4" t="s">
        <v>3</v>
      </c>
      <c r="C4">
        <f>C2/C3</f>
        <v>0.53880983182406206</v>
      </c>
      <c r="D4" t="s">
        <v>60</v>
      </c>
      <c r="F4" t="s">
        <v>40</v>
      </c>
      <c r="G4">
        <v>0</v>
      </c>
      <c r="H4" t="s">
        <v>18</v>
      </c>
      <c r="L4" s="3" t="s">
        <v>30</v>
      </c>
      <c r="M4" s="5"/>
      <c r="N4" s="8"/>
    </row>
    <row r="5" spans="1:19" x14ac:dyDescent="0.25">
      <c r="F5" t="s">
        <v>41</v>
      </c>
      <c r="G5">
        <f>G3*C16*C2*C2</f>
        <v>0</v>
      </c>
      <c r="H5" t="s">
        <v>21</v>
      </c>
      <c r="L5" t="s">
        <v>31</v>
      </c>
      <c r="M5" s="5">
        <f>((0.9*60000*B22)-SQRT(((0.9*60000*B22)^2)-((4*60000*60000*0.9*G15*12))/(2*0.85*3000*12)))/((2*60000*60000*0.9)/(2*0.85*3000*12))</f>
        <v>8.6397252574106354E-2</v>
      </c>
      <c r="N5" s="8"/>
    </row>
    <row r="6" spans="1:19" x14ac:dyDescent="0.25">
      <c r="A6" t="s">
        <v>4</v>
      </c>
      <c r="C6">
        <f>(2*12*(C2+C3))/180</f>
        <v>3.1720000000000002</v>
      </c>
      <c r="F6" t="s">
        <v>42</v>
      </c>
      <c r="G6">
        <f>G4*C16*C3*C3</f>
        <v>0</v>
      </c>
      <c r="H6" t="s">
        <v>21</v>
      </c>
      <c r="L6" t="s">
        <v>33</v>
      </c>
      <c r="M6" s="5">
        <f>0.0018*12*C8</f>
        <v>0.10800000000000001</v>
      </c>
      <c r="N6" s="8"/>
    </row>
    <row r="7" spans="1:19" x14ac:dyDescent="0.25">
      <c r="A7" t="s">
        <v>5</v>
      </c>
      <c r="C7">
        <v>3.5</v>
      </c>
      <c r="D7" t="s">
        <v>14</v>
      </c>
      <c r="L7" t="s">
        <v>53</v>
      </c>
      <c r="M7" s="5">
        <f>(0.11*12)/(IF(M6&gt;M5, M6, M5))</f>
        <v>12.222222222222221</v>
      </c>
      <c r="N7" s="8">
        <f>ROUNDDOWN(M7,0)</f>
        <v>12</v>
      </c>
    </row>
    <row r="8" spans="1:19" x14ac:dyDescent="0.25">
      <c r="A8" t="s">
        <v>6</v>
      </c>
      <c r="C8">
        <v>5</v>
      </c>
      <c r="D8" t="s">
        <v>14</v>
      </c>
      <c r="F8" s="3" t="s">
        <v>19</v>
      </c>
      <c r="M8" s="5"/>
      <c r="N8" s="8"/>
    </row>
    <row r="9" spans="1:19" x14ac:dyDescent="0.25">
      <c r="F9" t="s">
        <v>43</v>
      </c>
      <c r="G9">
        <v>0.09</v>
      </c>
      <c r="L9" t="s">
        <v>32</v>
      </c>
      <c r="M9" s="5">
        <f>((0.9*60000*B23)-SQRT(((0.9*60000*B23)^2)-((4*60000*60000*0.9*G18*12))/(2*0.85*3000*12)))/((2*60000*60000*0.9)/(2*0.85*3000*12))</f>
        <v>2.7345159866978001E-2</v>
      </c>
      <c r="N9" s="8"/>
    </row>
    <row r="10" spans="1:19" x14ac:dyDescent="0.25">
      <c r="A10" s="1" t="s">
        <v>7</v>
      </c>
      <c r="B10" s="2"/>
      <c r="F10" t="s">
        <v>44</v>
      </c>
      <c r="G10">
        <v>0.09</v>
      </c>
      <c r="L10" t="s">
        <v>33</v>
      </c>
      <c r="M10" s="5">
        <f>M6</f>
        <v>0.10800000000000001</v>
      </c>
      <c r="N10" s="8"/>
    </row>
    <row r="11" spans="1:19" x14ac:dyDescent="0.25">
      <c r="A11" t="s">
        <v>8</v>
      </c>
      <c r="C11">
        <f>(C8*150)/12</f>
        <v>62.5</v>
      </c>
      <c r="F11" t="s">
        <v>45</v>
      </c>
      <c r="G11">
        <v>7.6E-3</v>
      </c>
      <c r="L11" t="s">
        <v>53</v>
      </c>
      <c r="M11" s="5">
        <f>(0.11*12)/(IF(M10&gt;M9, M10, M9))</f>
        <v>12.222222222222221</v>
      </c>
      <c r="N11" s="8">
        <f>ROUNDDOWN(M11,0)</f>
        <v>12</v>
      </c>
      <c r="R11" s="2" t="s">
        <v>38</v>
      </c>
      <c r="S11" s="2"/>
    </row>
    <row r="12" spans="1:19" x14ac:dyDescent="0.25">
      <c r="A12" t="s">
        <v>9</v>
      </c>
      <c r="C12">
        <v>40</v>
      </c>
      <c r="F12" t="s">
        <v>46</v>
      </c>
      <c r="G12">
        <v>7.6E-3</v>
      </c>
      <c r="M12" s="5"/>
      <c r="N12" s="8"/>
    </row>
    <row r="13" spans="1:19" x14ac:dyDescent="0.25">
      <c r="A13" t="s">
        <v>10</v>
      </c>
      <c r="C13">
        <v>50</v>
      </c>
      <c r="F13" t="s">
        <v>47</v>
      </c>
      <c r="G13">
        <f>G9*C14*C2*C2</f>
        <v>960.16890375000014</v>
      </c>
      <c r="K13" s="12"/>
      <c r="L13" s="12"/>
      <c r="M13" s="13"/>
      <c r="N13" s="14"/>
      <c r="O13" s="12"/>
      <c r="P13" s="12"/>
    </row>
    <row r="14" spans="1:19" x14ac:dyDescent="0.25">
      <c r="A14" t="s">
        <v>11</v>
      </c>
      <c r="C14">
        <f>1.5*(C11+C12)</f>
        <v>153.75</v>
      </c>
      <c r="F14" t="s">
        <v>48</v>
      </c>
      <c r="G14">
        <f>G10*C15*C2*C2</f>
        <v>562.05008999999995</v>
      </c>
      <c r="K14" s="12"/>
      <c r="L14" s="15" t="s">
        <v>36</v>
      </c>
      <c r="M14" s="13"/>
      <c r="N14" s="14"/>
      <c r="O14" s="12"/>
      <c r="P14" s="12"/>
    </row>
    <row r="15" spans="1:19" x14ac:dyDescent="0.25">
      <c r="A15" t="s">
        <v>12</v>
      </c>
      <c r="C15">
        <f>1.8*C13</f>
        <v>90</v>
      </c>
      <c r="F15" t="s">
        <v>49</v>
      </c>
      <c r="G15">
        <f>SUM(G13:G14)</f>
        <v>1522.2189937500002</v>
      </c>
      <c r="H15" t="s">
        <v>21</v>
      </c>
      <c r="K15" s="12"/>
      <c r="L15" s="12" t="s">
        <v>31</v>
      </c>
      <c r="M15" s="13">
        <f>((0.9*60000*B22)-SQRT(((0.9*60000*B22)^2)-((4*60000*60000*0.9*G5*12))/(2*0.85*3000*12)))/((2*60000*60000*0.9)/(2*0.85*3000*12))</f>
        <v>0</v>
      </c>
      <c r="N15" s="14"/>
      <c r="O15" s="12"/>
      <c r="P15" s="12"/>
    </row>
    <row r="16" spans="1:19" x14ac:dyDescent="0.25">
      <c r="A16" t="s">
        <v>13</v>
      </c>
      <c r="C16">
        <f>C14+C15</f>
        <v>243.75</v>
      </c>
      <c r="F16" t="s">
        <v>50</v>
      </c>
      <c r="G16">
        <f>G11*C3*C3*C14</f>
        <v>279.28505460000002</v>
      </c>
      <c r="K16" s="12"/>
      <c r="L16" s="12" t="s">
        <v>33</v>
      </c>
      <c r="M16" s="13">
        <f>M6</f>
        <v>0.10800000000000001</v>
      </c>
      <c r="N16" s="14"/>
      <c r="O16" s="12"/>
      <c r="P16" s="12"/>
    </row>
    <row r="17" spans="1:16" x14ac:dyDescent="0.25">
      <c r="F17" t="s">
        <v>51</v>
      </c>
      <c r="G17">
        <f>G12*C3*C3*C15</f>
        <v>163.48393440000001</v>
      </c>
      <c r="K17" s="12"/>
      <c r="L17" s="12" t="s">
        <v>34</v>
      </c>
      <c r="M17" s="13">
        <f>(0.11*12)/(2*N7)</f>
        <v>5.5E-2</v>
      </c>
      <c r="N17" s="14"/>
      <c r="O17" s="12"/>
      <c r="P17" s="12"/>
    </row>
    <row r="18" spans="1:16" x14ac:dyDescent="0.25">
      <c r="F18" t="s">
        <v>52</v>
      </c>
      <c r="G18">
        <f>G16+G17</f>
        <v>442.76898900000003</v>
      </c>
      <c r="H18" t="s">
        <v>21</v>
      </c>
      <c r="K18" s="12"/>
      <c r="L18" s="12" t="s">
        <v>35</v>
      </c>
      <c r="M18" s="13">
        <f>(IF(M16&gt;M15, M16, M15))-M17</f>
        <v>5.3000000000000012E-2</v>
      </c>
      <c r="N18" s="14"/>
      <c r="O18" s="12"/>
      <c r="P18" s="12"/>
    </row>
    <row r="19" spans="1:16" x14ac:dyDescent="0.25">
      <c r="A19" s="4" t="s">
        <v>23</v>
      </c>
      <c r="B19" s="2"/>
      <c r="K19" s="12"/>
      <c r="L19" s="12" t="s">
        <v>53</v>
      </c>
      <c r="M19" s="13">
        <f>(0.11*12)/M18</f>
        <v>24.905660377358487</v>
      </c>
      <c r="N19" s="14">
        <f>ROUNDDOWN(M19,0)</f>
        <v>24</v>
      </c>
      <c r="O19" s="12"/>
      <c r="P19" s="12"/>
    </row>
    <row r="20" spans="1:16" x14ac:dyDescent="0.25">
      <c r="A20" t="s">
        <v>24</v>
      </c>
      <c r="B20">
        <f>SQRT((G15*12)/(0.9*701.232*12))</f>
        <v>1.5530536204637166</v>
      </c>
      <c r="C20" t="s">
        <v>26</v>
      </c>
      <c r="F20" s="3" t="s">
        <v>20</v>
      </c>
      <c r="K20" s="12"/>
      <c r="L20" s="12"/>
      <c r="M20" s="13"/>
      <c r="N20" s="14"/>
      <c r="O20" s="12"/>
      <c r="P20" s="12"/>
    </row>
    <row r="21" spans="1:16" x14ac:dyDescent="0.25">
      <c r="A21" t="s">
        <v>25</v>
      </c>
      <c r="B21">
        <f>C8-1</f>
        <v>4</v>
      </c>
      <c r="C21" t="s">
        <v>26</v>
      </c>
      <c r="K21" s="12"/>
      <c r="L21" s="12" t="s">
        <v>32</v>
      </c>
      <c r="M21" s="13">
        <f>((0.9*60000*B23)-SQRT(((0.9*60000*B23)^2)-((4*60000*60000*0.9*G6*12))/(2*0.85*3000*12)))/((2*60000*60000*0.9)/(2*0.85*3000*12))</f>
        <v>0</v>
      </c>
      <c r="N21" s="14"/>
      <c r="O21" s="12"/>
      <c r="P21" s="12"/>
    </row>
    <row r="22" spans="1:16" x14ac:dyDescent="0.25">
      <c r="A22" t="s">
        <v>28</v>
      </c>
      <c r="B22">
        <v>4</v>
      </c>
      <c r="F22" t="s">
        <v>41</v>
      </c>
      <c r="G22">
        <f>G15/3</f>
        <v>507.40633125000005</v>
      </c>
      <c r="H22" t="s">
        <v>21</v>
      </c>
      <c r="K22" s="12"/>
      <c r="L22" s="12" t="s">
        <v>33</v>
      </c>
      <c r="M22" s="13">
        <f>M6</f>
        <v>0.10800000000000001</v>
      </c>
      <c r="N22" s="14"/>
      <c r="O22" s="12"/>
      <c r="P22" s="12"/>
    </row>
    <row r="23" spans="1:16" x14ac:dyDescent="0.25">
      <c r="A23" t="s">
        <v>29</v>
      </c>
      <c r="B23">
        <v>3.625</v>
      </c>
      <c r="F23" t="s">
        <v>42</v>
      </c>
      <c r="G23">
        <f>G18/3</f>
        <v>147.589663</v>
      </c>
      <c r="H23" t="s">
        <v>21</v>
      </c>
      <c r="K23" s="12"/>
      <c r="L23" s="12" t="s">
        <v>34</v>
      </c>
      <c r="M23" s="13">
        <f>(0.11*12)/(2*N7)</f>
        <v>5.5E-2</v>
      </c>
      <c r="N23" s="14"/>
      <c r="O23" s="12"/>
      <c r="P23" s="12"/>
    </row>
    <row r="24" spans="1:16" x14ac:dyDescent="0.25">
      <c r="K24" s="12"/>
      <c r="L24" s="12" t="s">
        <v>35</v>
      </c>
      <c r="M24" s="13">
        <f>(IF(M22&gt;M21, M22, M21))-M23</f>
        <v>5.3000000000000012E-2</v>
      </c>
      <c r="N24" s="14"/>
      <c r="O24" s="12"/>
      <c r="P24" s="12"/>
    </row>
    <row r="25" spans="1:16" x14ac:dyDescent="0.25">
      <c r="K25" s="12"/>
      <c r="L25" s="12" t="s">
        <v>53</v>
      </c>
      <c r="M25" s="13">
        <f>(0.11*12)/M24</f>
        <v>24.905660377358487</v>
      </c>
      <c r="N25" s="14">
        <f>ROUNDDOWN(M25,0)</f>
        <v>24</v>
      </c>
      <c r="O25" s="12"/>
      <c r="P25" s="12"/>
    </row>
    <row r="26" spans="1:16" x14ac:dyDescent="0.25">
      <c r="K26" s="12"/>
      <c r="L26" s="12"/>
      <c r="M26" s="13"/>
      <c r="N26" s="14"/>
      <c r="O26" s="12"/>
      <c r="P26" s="12"/>
    </row>
    <row r="27" spans="1:16" x14ac:dyDescent="0.25">
      <c r="M27" s="5"/>
      <c r="N27" s="8"/>
    </row>
    <row r="28" spans="1:16" x14ac:dyDescent="0.25">
      <c r="L28" s="3" t="s">
        <v>37</v>
      </c>
      <c r="M28" s="5"/>
      <c r="N28" s="8"/>
    </row>
    <row r="29" spans="1:16" x14ac:dyDescent="0.25">
      <c r="G29" t="s">
        <v>56</v>
      </c>
      <c r="L29" t="s">
        <v>31</v>
      </c>
      <c r="M29" s="5">
        <f>((0.9*60000*B22)-SQRT(((0.9*60000*B22)^2)-((4*60000*60000*0.9*G22*12))/(2*0.85*3000*12)))/((2*60000*60000*0.9)/(2*0.85*3000*12))</f>
        <v>2.838674237566232E-2</v>
      </c>
      <c r="N29" s="8"/>
    </row>
    <row r="30" spans="1:16" x14ac:dyDescent="0.25">
      <c r="L30" t="s">
        <v>33</v>
      </c>
      <c r="M30" s="5">
        <f>M6</f>
        <v>0.10800000000000001</v>
      </c>
      <c r="N30" s="8"/>
    </row>
    <row r="31" spans="1:16" x14ac:dyDescent="0.25">
      <c r="L31" t="s">
        <v>34</v>
      </c>
      <c r="M31" s="5">
        <f>(0.11*12)/(2*N7)</f>
        <v>5.5E-2</v>
      </c>
      <c r="N31" s="8"/>
    </row>
    <row r="32" spans="1:16" x14ac:dyDescent="0.25">
      <c r="L32" t="s">
        <v>35</v>
      </c>
      <c r="M32" s="5">
        <f>(IF(M30&gt;M29, M30, M29))-M31</f>
        <v>5.3000000000000012E-2</v>
      </c>
      <c r="N32" s="8"/>
    </row>
    <row r="33" spans="12:14" x14ac:dyDescent="0.25">
      <c r="L33" t="s">
        <v>53</v>
      </c>
      <c r="M33" s="5">
        <f>(0.11*12)/M32</f>
        <v>24.905660377358487</v>
      </c>
      <c r="N33" s="8">
        <v>24</v>
      </c>
    </row>
    <row r="34" spans="12:14" x14ac:dyDescent="0.25">
      <c r="M34" s="5"/>
      <c r="N34" s="8"/>
    </row>
    <row r="35" spans="12:14" x14ac:dyDescent="0.25">
      <c r="L35" t="s">
        <v>32</v>
      </c>
      <c r="M35" s="5">
        <f>((0.9*60000*B23)-SQRT(((0.9*60000*B23)^2)-((4*60000*60000*0.9*G23*12))/(2*0.85*3000*12)))/((2*60000*60000*0.9)/(2*0.85*3000*12))</f>
        <v>9.0698904284110989E-3</v>
      </c>
      <c r="N35" s="8"/>
    </row>
    <row r="36" spans="12:14" x14ac:dyDescent="0.25">
      <c r="L36" t="s">
        <v>33</v>
      </c>
      <c r="M36" s="5">
        <f>M6</f>
        <v>0.10800000000000001</v>
      </c>
      <c r="N36" s="8"/>
    </row>
    <row r="37" spans="12:14" x14ac:dyDescent="0.25">
      <c r="L37" t="s">
        <v>34</v>
      </c>
      <c r="M37" s="5">
        <f>(0.11*12)/(2*N7)</f>
        <v>5.5E-2</v>
      </c>
      <c r="N37" s="8"/>
    </row>
    <row r="38" spans="12:14" x14ac:dyDescent="0.25">
      <c r="L38" t="s">
        <v>35</v>
      </c>
      <c r="M38" s="5">
        <f>(IF(M36&gt;M35, M36, M35))-M37</f>
        <v>5.3000000000000012E-2</v>
      </c>
      <c r="N38" s="8"/>
    </row>
    <row r="39" spans="12:14" x14ac:dyDescent="0.25">
      <c r="L39" t="s">
        <v>53</v>
      </c>
      <c r="M39" s="5">
        <f>(0.11*12)/M38</f>
        <v>24.905660377358487</v>
      </c>
      <c r="N39" s="8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132</vt:lpstr>
      <vt:lpstr>133</vt:lpstr>
      <vt:lpstr>134</vt:lpstr>
      <vt:lpstr>135</vt:lpstr>
      <vt:lpstr>136</vt:lpstr>
      <vt:lpstr>137</vt:lpstr>
      <vt:lpstr>138</vt:lpstr>
      <vt:lpstr>139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Fahim Abdullah</dc:creator>
  <cp:lastModifiedBy>Rashadul Islam</cp:lastModifiedBy>
  <cp:lastPrinted>2022-12-29T20:17:09Z</cp:lastPrinted>
  <dcterms:created xsi:type="dcterms:W3CDTF">2015-06-05T18:17:20Z</dcterms:created>
  <dcterms:modified xsi:type="dcterms:W3CDTF">2022-12-30T18:21:39Z</dcterms:modified>
</cp:coreProperties>
</file>